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8.xml" ContentType="application/vnd.openxmlformats-officedocument.drawingml.chart+xml"/>
  <Override PartName="/xl/charts/chart1.xml" ContentType="application/vnd.openxmlformats-officedocument.drawingml.chart+xml"/>
  <Default Extension="png" ContentType="image/png"/>
  <Override PartName="/xl/charts/chart3.xml" ContentType="application/vnd.openxmlformats-officedocument.drawingml.char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7.xml" ContentType="application/vnd.openxmlformats-officedocument.drawingml.chart+xml"/>
  <Override PartName="/xl/charts/chart2.xml" ContentType="application/vnd.openxmlformats-officedocument.drawingml.chart+xml"/>
  <Override PartName="/xl/charts/chart9.xml" ContentType="application/vnd.openxmlformats-officedocument.drawingml.chart+xml"/>
  <Default Extension="rels" ContentType="application/vnd.openxmlformats-package.relationships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020" yWindow="-260" windowWidth="35460" windowHeight="27260" tabRatio="500"/>
  </bookViews>
  <sheets>
    <sheet name="5017 Turnigy 620Kv" sheetId="14" r:id="rId1"/>
    <sheet name="relevés hélices" sheetId="15" r:id="rId2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F104" i="14"/>
  <c r="AE104"/>
  <c r="AB104"/>
  <c r="AJ103"/>
  <c r="AI103"/>
  <c r="AF103"/>
  <c r="AE103"/>
  <c r="AB103"/>
  <c r="AJ102"/>
  <c r="AI102"/>
  <c r="AF102"/>
  <c r="AE102"/>
  <c r="AB102"/>
  <c r="AJ101"/>
  <c r="AI101"/>
  <c r="AF101"/>
  <c r="AE101"/>
  <c r="AB101"/>
  <c r="AJ100"/>
  <c r="AI100"/>
  <c r="AF100"/>
  <c r="AE100"/>
  <c r="AB100"/>
  <c r="AJ99"/>
  <c r="AI99"/>
  <c r="AF99"/>
  <c r="AE99"/>
  <c r="AB99"/>
  <c r="AJ98"/>
  <c r="AI98"/>
  <c r="AF98"/>
  <c r="AE98"/>
  <c r="AB98"/>
  <c r="AJ97"/>
  <c r="AI97"/>
  <c r="AF97"/>
  <c r="AE97"/>
  <c r="AB97"/>
  <c r="AJ96"/>
  <c r="AI96"/>
  <c r="AF96"/>
  <c r="AE96"/>
  <c r="AB96"/>
  <c r="W96"/>
  <c r="AJ95"/>
  <c r="AI95"/>
  <c r="AF95"/>
  <c r="AE95"/>
  <c r="AB95"/>
  <c r="W95"/>
  <c r="AJ94"/>
  <c r="AI94"/>
  <c r="AF94"/>
  <c r="AE94"/>
  <c r="AB94"/>
  <c r="W94"/>
  <c r="AJ93"/>
  <c r="AI93"/>
  <c r="AF93"/>
  <c r="AE93"/>
  <c r="AB93"/>
  <c r="W93"/>
  <c r="AJ92"/>
  <c r="AI92"/>
  <c r="AF92"/>
  <c r="AE92"/>
  <c r="AB92"/>
  <c r="W92"/>
  <c r="AJ91"/>
  <c r="AI91"/>
  <c r="AF91"/>
  <c r="AE91"/>
  <c r="AB91"/>
  <c r="AJ90"/>
  <c r="AI90"/>
  <c r="AF90"/>
  <c r="AE90"/>
  <c r="AB90"/>
  <c r="AJ89"/>
  <c r="AI89"/>
  <c r="AF89"/>
  <c r="AE89"/>
  <c r="AB89"/>
  <c r="AJ88"/>
  <c r="AI88"/>
  <c r="AF88"/>
  <c r="AE88"/>
  <c r="AB88"/>
  <c r="AJ87"/>
  <c r="AI87"/>
  <c r="AF87"/>
  <c r="AE87"/>
  <c r="AB87"/>
  <c r="AJ86"/>
  <c r="AI86"/>
  <c r="AF86"/>
  <c r="AE86"/>
  <c r="AB86"/>
  <c r="AJ85"/>
  <c r="AI85"/>
  <c r="AF85"/>
  <c r="AE85"/>
  <c r="AB85"/>
  <c r="AJ84"/>
  <c r="AI84"/>
  <c r="AF84"/>
  <c r="AE84"/>
  <c r="AB84"/>
  <c r="AJ83"/>
  <c r="AI83"/>
  <c r="AF83"/>
  <c r="AE83"/>
  <c r="AB83"/>
  <c r="AJ82"/>
  <c r="AI82"/>
  <c r="AF82"/>
  <c r="AE82"/>
  <c r="AB82"/>
  <c r="AE80"/>
  <c r="AB78"/>
  <c r="Z78"/>
  <c r="AA77"/>
  <c r="Z76"/>
  <c r="Z75"/>
  <c r="AB74"/>
  <c r="Z74"/>
  <c r="AI73"/>
  <c r="AH73"/>
  <c r="AG73"/>
  <c r="AE73"/>
  <c r="AD73"/>
  <c r="AC73"/>
  <c r="AB73"/>
  <c r="Z73"/>
  <c r="AI72"/>
  <c r="AG72"/>
  <c r="AE72"/>
  <c r="AC72"/>
  <c r="AI71"/>
  <c r="AB71"/>
  <c r="Z71"/>
  <c r="AB70"/>
  <c r="Z70"/>
  <c r="AB69"/>
  <c r="Z69"/>
  <c r="AB68"/>
  <c r="Z68"/>
  <c r="AB67"/>
  <c r="Z67"/>
  <c r="G67"/>
  <c r="AI66"/>
  <c r="AE66"/>
  <c r="AB66"/>
  <c r="Z66"/>
  <c r="G66"/>
  <c r="C66"/>
  <c r="AI65"/>
  <c r="AH65"/>
  <c r="AG65"/>
  <c r="AE65"/>
  <c r="AD65"/>
  <c r="AC65"/>
  <c r="Z65"/>
  <c r="G65"/>
  <c r="AI64"/>
  <c r="AH64"/>
  <c r="AG64"/>
  <c r="AE64"/>
  <c r="AD64"/>
  <c r="AC64"/>
  <c r="Z64"/>
  <c r="C64"/>
  <c r="AI63"/>
  <c r="AH63"/>
  <c r="AG63"/>
  <c r="AE63"/>
  <c r="AD63"/>
  <c r="AC63"/>
  <c r="Z63"/>
  <c r="H63"/>
  <c r="AB62"/>
  <c r="Z62"/>
  <c r="L62"/>
  <c r="L61"/>
  <c r="C61"/>
  <c r="L60"/>
  <c r="G60"/>
  <c r="L59"/>
  <c r="P52"/>
  <c r="V51"/>
  <c r="U51"/>
  <c r="T51"/>
  <c r="S51"/>
  <c r="R51"/>
  <c r="P51"/>
  <c r="L51"/>
  <c r="K51"/>
  <c r="I51"/>
  <c r="F51"/>
  <c r="E51"/>
  <c r="B51"/>
  <c r="V50"/>
  <c r="U50"/>
  <c r="T50"/>
  <c r="S50"/>
  <c r="R50"/>
  <c r="Q50"/>
  <c r="P50"/>
  <c r="O50"/>
  <c r="N50"/>
  <c r="L50"/>
  <c r="K50"/>
  <c r="I50"/>
  <c r="F50"/>
  <c r="E50"/>
  <c r="B50"/>
  <c r="V49"/>
  <c r="U49"/>
  <c r="T49"/>
  <c r="S49"/>
  <c r="R49"/>
  <c r="Q49"/>
  <c r="P49"/>
  <c r="O49"/>
  <c r="N49"/>
  <c r="L49"/>
  <c r="K49"/>
  <c r="I49"/>
  <c r="F49"/>
  <c r="E49"/>
  <c r="B49"/>
  <c r="V48"/>
  <c r="U48"/>
  <c r="T48"/>
  <c r="S48"/>
  <c r="R48"/>
  <c r="Q48"/>
  <c r="P48"/>
  <c r="O48"/>
  <c r="N48"/>
  <c r="L48"/>
  <c r="K48"/>
  <c r="I48"/>
  <c r="F48"/>
  <c r="E48"/>
  <c r="B48"/>
  <c r="V47"/>
  <c r="U47"/>
  <c r="T47"/>
  <c r="S47"/>
  <c r="R47"/>
  <c r="Q47"/>
  <c r="P47"/>
  <c r="O47"/>
  <c r="N47"/>
  <c r="L47"/>
  <c r="K47"/>
  <c r="I47"/>
  <c r="F47"/>
  <c r="E47"/>
  <c r="B47"/>
  <c r="AI43"/>
  <c r="AH43"/>
  <c r="AG43"/>
  <c r="AE43"/>
  <c r="AD43"/>
  <c r="AC43"/>
  <c r="Z43"/>
  <c r="Z40"/>
  <c r="V40"/>
  <c r="U40"/>
  <c r="T40"/>
  <c r="S40"/>
  <c r="R40"/>
  <c r="Q40"/>
  <c r="P40"/>
  <c r="O40"/>
  <c r="N40"/>
  <c r="L40"/>
  <c r="K40"/>
  <c r="I40"/>
  <c r="H40"/>
  <c r="F40"/>
  <c r="E40"/>
  <c r="D40"/>
  <c r="V39"/>
  <c r="U39"/>
  <c r="T39"/>
  <c r="S39"/>
  <c r="R39"/>
  <c r="Q39"/>
  <c r="P39"/>
  <c r="O39"/>
  <c r="N39"/>
  <c r="L39"/>
  <c r="K39"/>
  <c r="I39"/>
  <c r="H39"/>
  <c r="F39"/>
  <c r="E39"/>
  <c r="D39"/>
  <c r="V38"/>
  <c r="U38"/>
  <c r="T38"/>
  <c r="S38"/>
  <c r="R38"/>
  <c r="Q38"/>
  <c r="P38"/>
  <c r="O38"/>
  <c r="N38"/>
  <c r="L38"/>
  <c r="K38"/>
  <c r="I38"/>
  <c r="H38"/>
  <c r="F38"/>
  <c r="E38"/>
  <c r="D38"/>
  <c r="AB37"/>
  <c r="Z37"/>
  <c r="V37"/>
  <c r="U37"/>
  <c r="T37"/>
  <c r="S37"/>
  <c r="R37"/>
  <c r="Q37"/>
  <c r="P37"/>
  <c r="O37"/>
  <c r="N37"/>
  <c r="L37"/>
  <c r="K37"/>
  <c r="I37"/>
  <c r="H37"/>
  <c r="F37"/>
  <c r="E37"/>
  <c r="D37"/>
  <c r="V36"/>
  <c r="U36"/>
  <c r="T36"/>
  <c r="S36"/>
  <c r="R36"/>
  <c r="Q36"/>
  <c r="P36"/>
  <c r="O36"/>
  <c r="N36"/>
  <c r="L36"/>
  <c r="K36"/>
  <c r="I36"/>
  <c r="H36"/>
  <c r="F36"/>
  <c r="E36"/>
  <c r="D36"/>
  <c r="V35"/>
  <c r="U35"/>
  <c r="T35"/>
  <c r="S35"/>
  <c r="R35"/>
  <c r="Q35"/>
  <c r="P35"/>
  <c r="O35"/>
  <c r="N35"/>
  <c r="L35"/>
  <c r="K35"/>
  <c r="I35"/>
  <c r="H35"/>
  <c r="F35"/>
  <c r="E35"/>
  <c r="D35"/>
  <c r="AB29"/>
  <c r="V27"/>
  <c r="U27"/>
  <c r="T27"/>
  <c r="S27"/>
  <c r="R27"/>
  <c r="Q27"/>
  <c r="P27"/>
  <c r="O27"/>
  <c r="N27"/>
  <c r="L27"/>
  <c r="K27"/>
  <c r="I27"/>
  <c r="H27"/>
  <c r="F27"/>
  <c r="E27"/>
  <c r="D27"/>
  <c r="V26"/>
  <c r="U26"/>
  <c r="T26"/>
  <c r="S26"/>
  <c r="R26"/>
  <c r="Q26"/>
  <c r="P26"/>
  <c r="O26"/>
  <c r="N26"/>
  <c r="L26"/>
  <c r="K26"/>
  <c r="I26"/>
  <c r="H26"/>
  <c r="F26"/>
  <c r="E26"/>
  <c r="D26"/>
  <c r="V25"/>
  <c r="U25"/>
  <c r="T25"/>
  <c r="S25"/>
  <c r="R25"/>
  <c r="Q25"/>
  <c r="P25"/>
  <c r="O25"/>
  <c r="N25"/>
  <c r="L25"/>
  <c r="K25"/>
  <c r="I25"/>
  <c r="H25"/>
  <c r="F25"/>
  <c r="E25"/>
  <c r="D25"/>
  <c r="V24"/>
  <c r="U24"/>
  <c r="T24"/>
  <c r="S24"/>
  <c r="R24"/>
  <c r="Q24"/>
  <c r="P24"/>
  <c r="O24"/>
  <c r="N24"/>
  <c r="L24"/>
  <c r="K24"/>
  <c r="I24"/>
  <c r="H24"/>
  <c r="F24"/>
  <c r="E24"/>
  <c r="D24"/>
  <c r="V23"/>
  <c r="U23"/>
  <c r="T23"/>
  <c r="S23"/>
  <c r="R23"/>
  <c r="Q23"/>
  <c r="P23"/>
  <c r="O23"/>
  <c r="N23"/>
  <c r="L23"/>
  <c r="K23"/>
  <c r="I23"/>
  <c r="H23"/>
  <c r="F23"/>
  <c r="E23"/>
  <c r="D23"/>
  <c r="V22"/>
  <c r="U22"/>
  <c r="T22"/>
  <c r="S22"/>
  <c r="R22"/>
  <c r="Q22"/>
  <c r="P22"/>
  <c r="O22"/>
  <c r="N22"/>
  <c r="L22"/>
  <c r="K22"/>
  <c r="I22"/>
  <c r="H22"/>
  <c r="F22"/>
  <c r="E22"/>
  <c r="D22"/>
  <c r="V13"/>
  <c r="U13"/>
  <c r="T13"/>
  <c r="S13"/>
  <c r="R13"/>
  <c r="Q13"/>
  <c r="P13"/>
  <c r="O13"/>
  <c r="N13"/>
  <c r="L13"/>
  <c r="K13"/>
  <c r="I13"/>
  <c r="H13"/>
  <c r="F13"/>
  <c r="E13"/>
  <c r="D13"/>
  <c r="V12"/>
  <c r="U12"/>
  <c r="T12"/>
  <c r="S12"/>
  <c r="R12"/>
  <c r="Q12"/>
  <c r="P12"/>
  <c r="O12"/>
  <c r="N12"/>
  <c r="L12"/>
  <c r="K12"/>
  <c r="I12"/>
  <c r="H12"/>
  <c r="F12"/>
  <c r="E12"/>
  <c r="D12"/>
  <c r="V11"/>
  <c r="U11"/>
  <c r="T11"/>
  <c r="S11"/>
  <c r="R11"/>
  <c r="Q11"/>
  <c r="P11"/>
  <c r="O11"/>
  <c r="N11"/>
  <c r="L11"/>
  <c r="K11"/>
  <c r="I11"/>
  <c r="H11"/>
  <c r="F11"/>
  <c r="E11"/>
  <c r="D11"/>
  <c r="V10"/>
  <c r="U10"/>
  <c r="T10"/>
  <c r="S10"/>
  <c r="R10"/>
  <c r="Q10"/>
  <c r="P10"/>
  <c r="O10"/>
  <c r="N10"/>
  <c r="L10"/>
  <c r="K10"/>
  <c r="I10"/>
  <c r="H10"/>
  <c r="F10"/>
  <c r="E10"/>
  <c r="D10"/>
  <c r="V9"/>
  <c r="U9"/>
  <c r="T9"/>
  <c r="S9"/>
  <c r="R9"/>
  <c r="Q9"/>
  <c r="P9"/>
  <c r="O9"/>
  <c r="N9"/>
  <c r="L9"/>
  <c r="K9"/>
  <c r="I9"/>
  <c r="H9"/>
  <c r="F9"/>
  <c r="E9"/>
  <c r="D9"/>
  <c r="V8"/>
  <c r="U8"/>
  <c r="T8"/>
  <c r="S8"/>
  <c r="R8"/>
  <c r="Q8"/>
  <c r="P8"/>
  <c r="O8"/>
  <c r="N8"/>
  <c r="L8"/>
  <c r="K8"/>
  <c r="I8"/>
  <c r="H8"/>
  <c r="F8"/>
  <c r="E8"/>
  <c r="D8"/>
  <c r="F30" i="15"/>
  <c r="F29"/>
  <c r="F28"/>
  <c r="F27"/>
</calcChain>
</file>

<file path=xl/sharedStrings.xml><?xml version="1.0" encoding="utf-8"?>
<sst xmlns="http://schemas.openxmlformats.org/spreadsheetml/2006/main" count="402" uniqueCount="197">
  <si>
    <t>courant maximal réel</t>
    <phoneticPr fontId="3" type="noConversion"/>
  </si>
  <si>
    <r>
      <t>I</t>
    </r>
    <r>
      <rPr>
        <vertAlign val="subscript"/>
        <sz val="10"/>
        <rFont val="Verdana"/>
      </rPr>
      <t>max0</t>
    </r>
    <phoneticPr fontId="3" type="noConversion"/>
  </si>
  <si>
    <r>
      <t>à V</t>
    </r>
    <r>
      <rPr>
        <vertAlign val="subscript"/>
        <sz val="10"/>
        <rFont val="Verdana"/>
      </rPr>
      <t>nominale</t>
    </r>
    <phoneticPr fontId="3" type="noConversion"/>
  </si>
  <si>
    <r>
      <t>K</t>
    </r>
    <r>
      <rPr>
        <vertAlign val="subscript"/>
        <sz val="10"/>
        <rFont val="Verdana"/>
      </rPr>
      <t>v=</t>
    </r>
    <r>
      <rPr>
        <sz val="10"/>
        <rFont val="Verdana"/>
      </rPr>
      <t>n</t>
    </r>
    <r>
      <rPr>
        <vertAlign val="subscript"/>
        <sz val="10"/>
        <rFont val="Verdana"/>
      </rPr>
      <t xml:space="preserve">o </t>
    </r>
    <r>
      <rPr>
        <sz val="10"/>
        <rFont val="Verdana"/>
      </rPr>
      <t>/(V -(Io*Rb))</t>
    </r>
    <phoneticPr fontId="3" type="noConversion"/>
  </si>
  <si>
    <t>I</t>
    <phoneticPr fontId="3" type="noConversion"/>
  </si>
  <si>
    <t>%</t>
  </si>
  <si>
    <t>estimation avec la 15x5 DJI CF</t>
    <phoneticPr fontId="3" type="noConversion"/>
  </si>
  <si>
    <t>n100w DC34</t>
    <phoneticPr fontId="3" type="noConversion"/>
  </si>
  <si>
    <t>comparer</t>
    <phoneticPr fontId="3" type="noConversion"/>
  </si>
  <si>
    <r>
      <t>I</t>
    </r>
    <r>
      <rPr>
        <vertAlign val="subscript"/>
        <sz val="10"/>
        <rFont val="Verdana"/>
      </rPr>
      <t>dénum</t>
    </r>
    <phoneticPr fontId="3" type="noConversion"/>
  </si>
  <si>
    <r>
      <t>à ŋ</t>
    </r>
    <r>
      <rPr>
        <vertAlign val="subscript"/>
        <sz val="10"/>
        <rFont val="Verdana"/>
      </rPr>
      <t xml:space="preserve">max </t>
    </r>
    <r>
      <rPr>
        <sz val="10"/>
        <rFont val="Verdana"/>
      </rPr>
      <t>et gaz</t>
    </r>
    <r>
      <rPr>
        <vertAlign val="subscript"/>
        <sz val="10"/>
        <rFont val="Verdana"/>
      </rPr>
      <t xml:space="preserve"> </t>
    </r>
    <r>
      <rPr>
        <sz val="10"/>
        <rFont val="Verdana"/>
      </rPr>
      <t>75%</t>
    </r>
    <phoneticPr fontId="3" type="noConversion"/>
  </si>
  <si>
    <r>
      <t>à V</t>
    </r>
    <r>
      <rPr>
        <vertAlign val="subscript"/>
        <sz val="10"/>
        <rFont val="Verdana"/>
      </rPr>
      <t>nominale</t>
    </r>
  </si>
  <si>
    <r>
      <t>I</t>
    </r>
    <r>
      <rPr>
        <vertAlign val="subscript"/>
        <sz val="10"/>
        <rFont val="Verdana"/>
      </rPr>
      <t>num</t>
    </r>
    <phoneticPr fontId="3" type="noConversion"/>
  </si>
  <si>
    <t>I réel</t>
    <phoneticPr fontId="3" type="noConversion"/>
  </si>
  <si>
    <t>Volts</t>
    <phoneticPr fontId="3" type="noConversion"/>
  </si>
  <si>
    <t>rendement</t>
    <phoneticPr fontId="3" type="noConversion"/>
  </si>
  <si>
    <t>pertes max</t>
    <phoneticPr fontId="3" type="noConversion"/>
  </si>
  <si>
    <t>pertes</t>
    <phoneticPr fontId="3" type="noConversion"/>
  </si>
  <si>
    <t>détermination des valeurs de Rb et Kv en fonction des valeurs relevées par les essais hélices</t>
  </si>
  <si>
    <t>RPM calculé</t>
    <phoneticPr fontId="3" type="noConversion"/>
  </si>
  <si>
    <t>Kv</t>
    <phoneticPr fontId="3" type="noConversion"/>
  </si>
  <si>
    <r>
      <t>I x R</t>
    </r>
    <r>
      <rPr>
        <vertAlign val="subscript"/>
        <sz val="10"/>
        <rFont val="Verdana"/>
      </rPr>
      <t>b</t>
    </r>
    <phoneticPr fontId="3" type="noConversion"/>
  </si>
  <si>
    <t>% temps</t>
    <phoneticPr fontId="3" type="noConversion"/>
  </si>
  <si>
    <t>efficacité mécanique</t>
    <phoneticPr fontId="3" type="noConversion"/>
  </si>
  <si>
    <r>
      <t>P</t>
    </r>
    <r>
      <rPr>
        <vertAlign val="subscript"/>
        <sz val="10"/>
        <rFont val="Verdana"/>
      </rPr>
      <t>out</t>
    </r>
  </si>
  <si>
    <r>
      <t>K</t>
    </r>
    <r>
      <rPr>
        <vertAlign val="subscript"/>
        <sz val="10"/>
        <rFont val="Verdana"/>
      </rPr>
      <t>v</t>
    </r>
  </si>
  <si>
    <r>
      <t>K</t>
    </r>
    <r>
      <rPr>
        <vertAlign val="subscript"/>
        <sz val="10"/>
        <rFont val="Verdana"/>
      </rPr>
      <t>m</t>
    </r>
  </si>
  <si>
    <r>
      <t>ŋ</t>
    </r>
    <r>
      <rPr>
        <vertAlign val="subscript"/>
        <sz val="10"/>
        <rFont val="Verdana"/>
      </rPr>
      <t>max</t>
    </r>
  </si>
  <si>
    <t>courant sans charge</t>
  </si>
  <si>
    <r>
      <t>I</t>
    </r>
    <r>
      <rPr>
        <vertAlign val="subscript"/>
        <sz val="10"/>
        <rFont val="Verdana"/>
      </rPr>
      <t>o</t>
    </r>
  </si>
  <si>
    <t>courant de blocage</t>
  </si>
  <si>
    <r>
      <t>I</t>
    </r>
    <r>
      <rPr>
        <vertAlign val="subscript"/>
        <sz val="10"/>
        <rFont val="Verdana"/>
      </rPr>
      <t>blocage</t>
    </r>
  </si>
  <si>
    <t>donnée</t>
    <phoneticPr fontId="3" type="noConversion"/>
  </si>
  <si>
    <t>non</t>
    <phoneticPr fontId="3" type="noConversion"/>
  </si>
  <si>
    <t>oui</t>
    <phoneticPr fontId="3" type="noConversion"/>
  </si>
  <si>
    <t>calcul/donnée</t>
    <phoneticPr fontId="3" type="noConversion"/>
  </si>
  <si>
    <t>Watts en continu</t>
    <phoneticPr fontId="3" type="noConversion"/>
  </si>
  <si>
    <r>
      <t>à ŋ</t>
    </r>
    <r>
      <rPr>
        <vertAlign val="subscript"/>
        <sz val="10"/>
        <rFont val="Verdana"/>
      </rPr>
      <t xml:space="preserve">max </t>
    </r>
    <r>
      <rPr>
        <sz val="10"/>
        <rFont val="Verdana"/>
      </rPr>
      <t>et gaz</t>
    </r>
    <r>
      <rPr>
        <vertAlign val="subscript"/>
        <sz val="10"/>
        <rFont val="Verdana"/>
      </rPr>
      <t xml:space="preserve"> </t>
    </r>
    <r>
      <rPr>
        <sz val="10"/>
        <rFont val="Verdana"/>
      </rPr>
      <t>50%</t>
    </r>
    <phoneticPr fontId="3" type="noConversion"/>
  </si>
  <si>
    <r>
      <t>à ŋ</t>
    </r>
    <r>
      <rPr>
        <vertAlign val="subscript"/>
        <sz val="10"/>
        <rFont val="Verdana"/>
      </rPr>
      <t xml:space="preserve">max </t>
    </r>
    <r>
      <rPr>
        <sz val="10"/>
        <rFont val="Verdana"/>
      </rPr>
      <t>et gaz</t>
    </r>
    <r>
      <rPr>
        <vertAlign val="subscript"/>
        <sz val="10"/>
        <rFont val="Verdana"/>
      </rPr>
      <t xml:space="preserve"> </t>
    </r>
    <r>
      <rPr>
        <sz val="10"/>
        <rFont val="Verdana"/>
      </rPr>
      <t>100%</t>
    </r>
    <phoneticPr fontId="3" type="noConversion"/>
  </si>
  <si>
    <t>courant</t>
    <phoneticPr fontId="3" type="noConversion"/>
  </si>
  <si>
    <t>13x6,5</t>
    <phoneticPr fontId="3" type="noConversion"/>
  </si>
  <si>
    <t>14x4,7</t>
    <phoneticPr fontId="3" type="noConversion"/>
  </si>
  <si>
    <r>
      <t>R</t>
    </r>
    <r>
      <rPr>
        <vertAlign val="subscript"/>
        <sz val="10"/>
        <rFont val="Verdana"/>
      </rPr>
      <t>b</t>
    </r>
    <r>
      <rPr>
        <sz val="10"/>
        <rFont val="Verdana"/>
      </rPr>
      <t>=V</t>
    </r>
    <r>
      <rPr>
        <vertAlign val="subscript"/>
        <sz val="10"/>
        <rFont val="Verdana"/>
      </rPr>
      <t>nominale</t>
    </r>
    <r>
      <rPr>
        <sz val="10"/>
        <rFont val="Verdana"/>
      </rPr>
      <t>/I</t>
    </r>
    <r>
      <rPr>
        <vertAlign val="subscript"/>
        <sz val="10"/>
        <rFont val="Verdana"/>
      </rPr>
      <t>blocage</t>
    </r>
    <phoneticPr fontId="3" type="noConversion"/>
  </si>
  <si>
    <r>
      <t xml:space="preserve">vitesse </t>
    </r>
    <r>
      <rPr>
        <vertAlign val="subscript"/>
        <sz val="10"/>
        <rFont val="Verdana"/>
      </rPr>
      <t>nominale</t>
    </r>
    <phoneticPr fontId="3" type="noConversion"/>
  </si>
  <si>
    <r>
      <t>n</t>
    </r>
    <r>
      <rPr>
        <vertAlign val="subscript"/>
        <sz val="10"/>
        <rFont val="Verdana"/>
      </rPr>
      <t>o</t>
    </r>
    <phoneticPr fontId="3" type="noConversion"/>
  </si>
  <si>
    <t>tension utilisée</t>
    <phoneticPr fontId="3" type="noConversion"/>
  </si>
  <si>
    <t>V</t>
    <phoneticPr fontId="3" type="noConversion"/>
  </si>
  <si>
    <t>à V</t>
    <phoneticPr fontId="3" type="noConversion"/>
  </si>
  <si>
    <t>% à ajuster</t>
    <phoneticPr fontId="3" type="noConversion"/>
  </si>
  <si>
    <t>trust=factor*RPM/1000^exponent</t>
    <phoneticPr fontId="3" type="noConversion"/>
  </si>
  <si>
    <t>power=factor*RPM/1000^exponent</t>
    <phoneticPr fontId="3" type="noConversion"/>
  </si>
  <si>
    <t>factor</t>
    <phoneticPr fontId="3" type="noConversion"/>
  </si>
  <si>
    <t>exponent</t>
    <phoneticPr fontId="3" type="noConversion"/>
  </si>
  <si>
    <r>
      <t>V</t>
    </r>
    <r>
      <rPr>
        <vertAlign val="subscript"/>
        <sz val="10"/>
        <rFont val="Verdana"/>
      </rPr>
      <t>nominale</t>
    </r>
    <phoneticPr fontId="3" type="noConversion"/>
  </si>
  <si>
    <t>volts</t>
    <phoneticPr fontId="3" type="noConversion"/>
  </si>
  <si>
    <t>Amp</t>
    <phoneticPr fontId="3" type="noConversion"/>
  </si>
  <si>
    <t>13x4</t>
    <phoneticPr fontId="3" type="noConversion"/>
  </si>
  <si>
    <r>
      <t>P</t>
    </r>
    <r>
      <rPr>
        <vertAlign val="subscript"/>
        <sz val="10"/>
        <rFont val="Verdana"/>
      </rPr>
      <t>in</t>
    </r>
  </si>
  <si>
    <t>donnée constructeur</t>
    <phoneticPr fontId="3" type="noConversion"/>
  </si>
  <si>
    <t>courant rendement max</t>
  </si>
  <si>
    <t>Puissance électrique</t>
  </si>
  <si>
    <t>Puissance mécanique</t>
  </si>
  <si>
    <t>rendement maximum</t>
  </si>
  <si>
    <t>traction</t>
    <phoneticPr fontId="3" type="noConversion"/>
  </si>
  <si>
    <r>
      <t>P</t>
    </r>
    <r>
      <rPr>
        <vertAlign val="subscript"/>
        <sz val="10"/>
        <rFont val="Verdana"/>
      </rPr>
      <t>in</t>
    </r>
    <r>
      <rPr>
        <sz val="10"/>
        <rFont val="Verdana"/>
      </rPr>
      <t>=V x I</t>
    </r>
    <phoneticPr fontId="3" type="noConversion"/>
  </si>
  <si>
    <r>
      <t>P</t>
    </r>
    <r>
      <rPr>
        <vertAlign val="subscript"/>
        <sz val="10"/>
        <rFont val="Verdana"/>
      </rPr>
      <t>out</t>
    </r>
    <r>
      <rPr>
        <sz val="10"/>
        <rFont val="Verdana"/>
      </rPr>
      <t>=(I - I</t>
    </r>
    <r>
      <rPr>
        <vertAlign val="subscript"/>
        <sz val="10"/>
        <rFont val="Verdana"/>
      </rPr>
      <t>o</t>
    </r>
    <r>
      <rPr>
        <sz val="10"/>
        <rFont val="Verdana"/>
      </rPr>
      <t>) x (V - (I x R</t>
    </r>
    <r>
      <rPr>
        <vertAlign val="subscript"/>
        <sz val="10"/>
        <rFont val="Verdana"/>
      </rPr>
      <t>b</t>
    </r>
    <r>
      <rPr>
        <sz val="10"/>
        <rFont val="Verdana"/>
      </rPr>
      <t>))</t>
    </r>
    <phoneticPr fontId="3" type="noConversion"/>
  </si>
  <si>
    <r>
      <t>I</t>
    </r>
    <r>
      <rPr>
        <vertAlign val="subscript"/>
        <sz val="10"/>
        <rFont val="Verdana"/>
      </rPr>
      <t>max</t>
    </r>
    <phoneticPr fontId="3" type="noConversion"/>
  </si>
  <si>
    <t>ρ</t>
    <phoneticPr fontId="3" type="noConversion"/>
  </si>
  <si>
    <t>V</t>
    <phoneticPr fontId="3" type="noConversion"/>
  </si>
  <si>
    <t>Rb</t>
    <phoneticPr fontId="3" type="noConversion"/>
  </si>
  <si>
    <t>I</t>
    <phoneticPr fontId="3" type="noConversion"/>
  </si>
  <si>
    <t>courant maximal admis</t>
    <phoneticPr fontId="3" type="noConversion"/>
  </si>
  <si>
    <r>
      <t>P</t>
    </r>
    <r>
      <rPr>
        <vertAlign val="subscript"/>
        <sz val="10"/>
        <rFont val="Verdana"/>
      </rPr>
      <t>t</t>
    </r>
    <r>
      <rPr>
        <sz val="10"/>
        <rFont val="Verdana"/>
      </rPr>
      <t>=R</t>
    </r>
    <r>
      <rPr>
        <vertAlign val="subscript"/>
        <sz val="10"/>
        <rFont val="Verdana"/>
      </rPr>
      <t>b</t>
    </r>
    <r>
      <rPr>
        <sz val="10"/>
        <rFont val="Verdana"/>
      </rPr>
      <t xml:space="preserve"> x I</t>
    </r>
    <r>
      <rPr>
        <vertAlign val="superscript"/>
        <sz val="10"/>
        <rFont val="Verdana"/>
      </rPr>
      <t>2</t>
    </r>
    <r>
      <rPr>
        <sz val="10"/>
        <rFont val="Verdana"/>
      </rPr>
      <t xml:space="preserve"> + I</t>
    </r>
    <r>
      <rPr>
        <vertAlign val="subscript"/>
        <sz val="10"/>
        <rFont val="Verdana"/>
      </rPr>
      <t>o</t>
    </r>
    <r>
      <rPr>
        <sz val="10"/>
        <rFont val="Verdana"/>
      </rPr>
      <t xml:space="preserve"> x (V - I x R</t>
    </r>
    <r>
      <rPr>
        <vertAlign val="subscript"/>
        <sz val="10"/>
        <rFont val="Verdana"/>
      </rPr>
      <t>b</t>
    </r>
    <r>
      <rPr>
        <sz val="10"/>
        <rFont val="Verdana"/>
      </rPr>
      <t>)=P</t>
    </r>
    <r>
      <rPr>
        <vertAlign val="subscript"/>
        <sz val="10"/>
        <rFont val="Verdana"/>
      </rPr>
      <t>in</t>
    </r>
    <r>
      <rPr>
        <sz val="10"/>
        <rFont val="Verdana"/>
      </rPr>
      <t xml:space="preserve"> - P</t>
    </r>
    <r>
      <rPr>
        <vertAlign val="subscript"/>
        <sz val="10"/>
        <rFont val="Verdana"/>
      </rPr>
      <t>out</t>
    </r>
    <phoneticPr fontId="3" type="noConversion"/>
  </si>
  <si>
    <t>tension nominale</t>
    <phoneticPr fontId="3" type="noConversion"/>
  </si>
  <si>
    <t>Amp</t>
    <phoneticPr fontId="3" type="noConversion"/>
  </si>
  <si>
    <r>
      <t>P=(V-(Rb+Rc)I)(I-I</t>
    </r>
    <r>
      <rPr>
        <vertAlign val="subscript"/>
        <sz val="10"/>
        <rFont val="Verdana"/>
      </rPr>
      <t>0</t>
    </r>
    <r>
      <rPr>
        <sz val="10"/>
        <rFont val="Verdana"/>
      </rPr>
      <t>)</t>
    </r>
    <phoneticPr fontId="3" type="noConversion"/>
  </si>
  <si>
    <t>aimants cobalt-smarium</t>
  </si>
  <si>
    <t>vitesse de rotation</t>
  </si>
  <si>
    <r>
      <t>n</t>
    </r>
    <r>
      <rPr>
        <vertAlign val="subscript"/>
        <sz val="10"/>
        <rFont val="Verdana"/>
      </rPr>
      <t>m</t>
    </r>
  </si>
  <si>
    <t>mNm/Amp</t>
  </si>
  <si>
    <t>couple</t>
  </si>
  <si>
    <t>C</t>
  </si>
  <si>
    <t>Nm</t>
  </si>
  <si>
    <t>trs/min</t>
  </si>
  <si>
    <t>Amp</t>
  </si>
  <si>
    <t>Watts</t>
  </si>
  <si>
    <t>trs/min.volt</t>
  </si>
  <si>
    <t>résistance bobinage</t>
  </si>
  <si>
    <r>
      <t>R</t>
    </r>
    <r>
      <rPr>
        <vertAlign val="subscript"/>
        <sz val="10"/>
        <rFont val="Verdana"/>
      </rPr>
      <t>b</t>
    </r>
  </si>
  <si>
    <t>ohms</t>
  </si>
  <si>
    <r>
      <t>K</t>
    </r>
    <r>
      <rPr>
        <vertAlign val="subscript"/>
        <sz val="10"/>
        <rFont val="Verdana"/>
      </rPr>
      <t>m=</t>
    </r>
    <r>
      <rPr>
        <sz val="10"/>
        <rFont val="Verdana"/>
      </rPr>
      <t>C / I</t>
    </r>
  </si>
  <si>
    <t>ohm.mètre</t>
    <phoneticPr fontId="3" type="noConversion"/>
  </si>
  <si>
    <t>Puissance pertes</t>
    <phoneticPr fontId="3" type="noConversion"/>
  </si>
  <si>
    <t>Puissance pertes max</t>
    <phoneticPr fontId="3" type="noConversion"/>
  </si>
  <si>
    <r>
      <t>P</t>
    </r>
    <r>
      <rPr>
        <vertAlign val="subscript"/>
        <sz val="10"/>
        <rFont val="Verdana"/>
      </rPr>
      <t>t max</t>
    </r>
    <phoneticPr fontId="3" type="noConversion"/>
  </si>
  <si>
    <r>
      <t>P</t>
    </r>
    <r>
      <rPr>
        <vertAlign val="subscript"/>
        <sz val="10"/>
        <rFont val="Verdana"/>
      </rPr>
      <t>t</t>
    </r>
    <r>
      <rPr>
        <sz val="10"/>
        <rFont val="Verdana"/>
      </rPr>
      <t>=(R</t>
    </r>
    <r>
      <rPr>
        <vertAlign val="subscript"/>
        <sz val="10"/>
        <rFont val="Verdana"/>
      </rPr>
      <t>b</t>
    </r>
    <r>
      <rPr>
        <sz val="10"/>
        <rFont val="Verdana"/>
      </rPr>
      <t xml:space="preserve"> x I</t>
    </r>
    <r>
      <rPr>
        <vertAlign val="subscript"/>
        <sz val="10"/>
        <rFont val="Verdana"/>
      </rPr>
      <t>max</t>
    </r>
    <r>
      <rPr>
        <vertAlign val="superscript"/>
        <sz val="10"/>
        <rFont val="Verdana"/>
      </rPr>
      <t>2</t>
    </r>
    <r>
      <rPr>
        <sz val="10"/>
        <rFont val="Verdana"/>
      </rPr>
      <t xml:space="preserve"> + I</t>
    </r>
    <r>
      <rPr>
        <vertAlign val="subscript"/>
        <sz val="10"/>
        <rFont val="Verdana"/>
      </rPr>
      <t>o</t>
    </r>
    <r>
      <rPr>
        <sz val="10"/>
        <rFont val="Verdana"/>
      </rPr>
      <t xml:space="preserve"> x (V</t>
    </r>
    <r>
      <rPr>
        <vertAlign val="subscript"/>
        <sz val="10"/>
        <rFont val="Verdana"/>
      </rPr>
      <t>nominale</t>
    </r>
    <r>
      <rPr>
        <sz val="10"/>
        <rFont val="Verdana"/>
      </rPr>
      <t xml:space="preserve"> - I</t>
    </r>
    <r>
      <rPr>
        <vertAlign val="subscript"/>
        <sz val="10"/>
        <rFont val="Verdana"/>
      </rPr>
      <t>max</t>
    </r>
    <r>
      <rPr>
        <sz val="10"/>
        <rFont val="Verdana"/>
      </rPr>
      <t xml:space="preserve"> x R</t>
    </r>
    <r>
      <rPr>
        <vertAlign val="subscript"/>
        <sz val="10"/>
        <rFont val="Verdana"/>
      </rPr>
      <t>b</t>
    </r>
    <r>
      <rPr>
        <sz val="10"/>
        <rFont val="Verdana"/>
      </rPr>
      <t>))/2</t>
    </r>
    <phoneticPr fontId="3" type="noConversion"/>
  </si>
  <si>
    <r>
      <t>I</t>
    </r>
    <r>
      <rPr>
        <vertAlign val="subscript"/>
        <sz val="10"/>
        <rFont val="Verdana"/>
      </rPr>
      <t>max eff</t>
    </r>
    <r>
      <rPr>
        <sz val="10"/>
        <rFont val="Verdana"/>
      </rPr>
      <t>=√(I</t>
    </r>
    <r>
      <rPr>
        <vertAlign val="subscript"/>
        <sz val="10"/>
        <rFont val="Verdana"/>
      </rPr>
      <t>o</t>
    </r>
    <r>
      <rPr>
        <sz val="10"/>
        <rFont val="Verdana"/>
      </rPr>
      <t xml:space="preserve"> x I</t>
    </r>
    <r>
      <rPr>
        <vertAlign val="subscript"/>
        <sz val="10"/>
        <rFont val="Verdana"/>
      </rPr>
      <t>blocage</t>
    </r>
    <r>
      <rPr>
        <sz val="10"/>
        <rFont val="Verdana"/>
      </rPr>
      <t>)</t>
    </r>
    <phoneticPr fontId="3" type="noConversion"/>
  </si>
  <si>
    <t>résistivité cuivre</t>
  </si>
  <si>
    <t>Pin</t>
    <phoneticPr fontId="3" type="noConversion"/>
  </si>
  <si>
    <t>efficacité</t>
    <phoneticPr fontId="3" type="noConversion"/>
  </si>
  <si>
    <t>grs/w</t>
    <phoneticPr fontId="3" type="noConversion"/>
  </si>
  <si>
    <t>P=2 ∏ M V</t>
    <phoneticPr fontId="3" type="noConversion"/>
  </si>
  <si>
    <t>M en Nm</t>
    <phoneticPr fontId="3" type="noConversion"/>
  </si>
  <si>
    <t>V en trs/sec</t>
    <phoneticPr fontId="3" type="noConversion"/>
  </si>
  <si>
    <t>Couple</t>
    <phoneticPr fontId="3" type="noConversion"/>
  </si>
  <si>
    <t>pertes moteur</t>
    <phoneticPr fontId="3" type="noConversion"/>
  </si>
  <si>
    <t>calcul</t>
    <phoneticPr fontId="3" type="noConversion"/>
  </si>
  <si>
    <t>rendement moteur</t>
    <phoneticPr fontId="3" type="noConversion"/>
  </si>
  <si>
    <t>Pout (DC34)</t>
    <phoneticPr fontId="3" type="noConversion"/>
  </si>
  <si>
    <t>Watts</t>
    <phoneticPr fontId="3" type="noConversion"/>
  </si>
  <si>
    <t>Pout (calculé)</t>
    <phoneticPr fontId="3" type="noConversion"/>
  </si>
  <si>
    <t>Pout (n100W)</t>
    <phoneticPr fontId="3" type="noConversion"/>
  </si>
  <si>
    <t>calcul des moteurs</t>
  </si>
  <si>
    <t>caractéristiques</t>
  </si>
  <si>
    <t>constante de vitesse</t>
  </si>
  <si>
    <t>constante de couple</t>
  </si>
  <si>
    <t>rendement</t>
  </si>
  <si>
    <t>ŋ</t>
  </si>
  <si>
    <t>rendement moteur</t>
  </si>
  <si>
    <t>rendement moteur</t>
    <phoneticPr fontId="3" type="noConversion"/>
  </si>
  <si>
    <t>courant</t>
  </si>
  <si>
    <t>courant</t>
    <phoneticPr fontId="3" type="noConversion"/>
  </si>
  <si>
    <t>par les formules Ph = 1.8E-7*D^4*Pa*n^3*Np*Kp, avec Np = 2 : bipale. Ph =(Vbatt - (Rb+Rc)I)(I-Io), n=Kv(Vbatt- (Rb+Rc)I)</t>
  </si>
  <si>
    <t xml:space="preserve">et la solution </t>
  </si>
  <si>
    <t xml:space="preserve">I = </t>
  </si>
  <si>
    <t>relevé avec la 13x4 carbon</t>
    <phoneticPr fontId="3" type="noConversion"/>
  </si>
  <si>
    <t>tension</t>
  </si>
  <si>
    <t>tension</t>
    <phoneticPr fontId="3" type="noConversion"/>
  </si>
  <si>
    <t>5017-620KV Turnigy Multi-Rotor Motor With Extra Long Leads</t>
    <phoneticPr fontId="3" type="noConversion"/>
  </si>
  <si>
    <t>traction</t>
  </si>
  <si>
    <t>Pin</t>
  </si>
  <si>
    <t>RPM</t>
  </si>
  <si>
    <t>efficacité</t>
  </si>
  <si>
    <t>grs/w</t>
  </si>
  <si>
    <t>relevé avec la 14x4,7 carbon</t>
  </si>
  <si>
    <t>relevé avec la 13x6,5 carbon</t>
    <phoneticPr fontId="3" type="noConversion"/>
  </si>
  <si>
    <t>n100w estimé</t>
    <phoneticPr fontId="3" type="noConversion"/>
  </si>
  <si>
    <t xml:space="preserve"> </t>
    <phoneticPr fontId="3" type="noConversion"/>
  </si>
  <si>
    <t>RPM</t>
    <phoneticPr fontId="3" type="noConversion"/>
  </si>
  <si>
    <t>trs/min</t>
    <phoneticPr fontId="3" type="noConversion"/>
  </si>
  <si>
    <t>0.5+3.6E-7*Kp*Kv^3*Pa*D^4*(Rb+Rc)*V -(0.25-3.6E-7*Kp*Kv^3*Pa*D^4*((Rb+Rc)^2*Io-(Rb+Rc)*V))^(1/2)</t>
  </si>
  <si>
    <t>3.6E-7*Kp*Kv^3*Pa*D^4*(Rb+Rc)^2</t>
  </si>
  <si>
    <t>diam</t>
    <phoneticPr fontId="3" type="noConversion"/>
  </si>
  <si>
    <t>pas</t>
    <phoneticPr fontId="3" type="noConversion"/>
  </si>
  <si>
    <t>RPM</t>
    <phoneticPr fontId="3" type="noConversion"/>
  </si>
  <si>
    <t>Nb pales</t>
    <phoneticPr fontId="3" type="noConversion"/>
  </si>
  <si>
    <t>Kp</t>
    <phoneticPr fontId="3" type="noConversion"/>
  </si>
  <si>
    <t>V</t>
    <phoneticPr fontId="3" type="noConversion"/>
  </si>
  <si>
    <t>Rb</t>
    <phoneticPr fontId="3" type="noConversion"/>
  </si>
  <si>
    <t>Rc</t>
    <phoneticPr fontId="3" type="noConversion"/>
  </si>
  <si>
    <r>
      <t>I</t>
    </r>
    <r>
      <rPr>
        <vertAlign val="subscript"/>
        <sz val="10"/>
        <rFont val="Verdana"/>
      </rPr>
      <t>0</t>
    </r>
    <phoneticPr fontId="3" type="noConversion"/>
  </si>
  <si>
    <t>watts</t>
    <phoneticPr fontId="3" type="noConversion"/>
  </si>
  <si>
    <t>watts</t>
    <phoneticPr fontId="3" type="noConversion"/>
  </si>
  <si>
    <t>RPM</t>
    <phoneticPr fontId="3" type="noConversion"/>
  </si>
  <si>
    <t>Kv</t>
    <phoneticPr fontId="3" type="noConversion"/>
  </si>
  <si>
    <t>trs/min</t>
    <phoneticPr fontId="3" type="noConversion"/>
  </si>
  <si>
    <t>I</t>
    <phoneticPr fontId="3" type="noConversion"/>
  </si>
  <si>
    <r>
      <t>I</t>
    </r>
    <r>
      <rPr>
        <vertAlign val="subscript"/>
        <sz val="10"/>
        <rFont val="Verdana"/>
      </rPr>
      <t>max</t>
    </r>
    <r>
      <rPr>
        <sz val="10"/>
        <rFont val="Verdana"/>
      </rPr>
      <t>=(R</t>
    </r>
    <r>
      <rPr>
        <vertAlign val="subscript"/>
        <sz val="10"/>
        <rFont val="Verdana"/>
      </rPr>
      <t>b</t>
    </r>
    <r>
      <rPr>
        <sz val="10"/>
        <rFont val="Verdana"/>
      </rPr>
      <t xml:space="preserve"> x I</t>
    </r>
    <r>
      <rPr>
        <vertAlign val="subscript"/>
        <sz val="10"/>
        <rFont val="Verdana"/>
      </rPr>
      <t>o</t>
    </r>
    <r>
      <rPr>
        <sz val="10"/>
        <rFont val="Verdana"/>
      </rPr>
      <t xml:space="preserve"> + √(R</t>
    </r>
    <r>
      <rPr>
        <vertAlign val="subscript"/>
        <sz val="10"/>
        <rFont val="Verdana"/>
      </rPr>
      <t>b</t>
    </r>
    <r>
      <rPr>
        <vertAlign val="superscript"/>
        <sz val="10"/>
        <rFont val="Verdana"/>
      </rPr>
      <t>2</t>
    </r>
    <r>
      <rPr>
        <sz val="10"/>
        <rFont val="Verdana"/>
      </rPr>
      <t xml:space="preserve"> x I</t>
    </r>
    <r>
      <rPr>
        <vertAlign val="subscript"/>
        <sz val="10"/>
        <rFont val="Verdana"/>
      </rPr>
      <t>o</t>
    </r>
    <r>
      <rPr>
        <vertAlign val="superscript"/>
        <sz val="10"/>
        <rFont val="Verdana"/>
      </rPr>
      <t>2</t>
    </r>
    <r>
      <rPr>
        <sz val="10"/>
        <rFont val="Verdana"/>
      </rPr>
      <t xml:space="preserve"> + 4 x R</t>
    </r>
    <r>
      <rPr>
        <vertAlign val="subscript"/>
        <sz val="10"/>
        <rFont val="Verdana"/>
      </rPr>
      <t>b</t>
    </r>
    <r>
      <rPr>
        <sz val="10"/>
        <rFont val="Verdana"/>
      </rPr>
      <t xml:space="preserve"> x (P</t>
    </r>
    <r>
      <rPr>
        <vertAlign val="subscript"/>
        <sz val="10"/>
        <rFont val="Verdana"/>
      </rPr>
      <t>t</t>
    </r>
    <r>
      <rPr>
        <sz val="10"/>
        <rFont val="Verdana"/>
      </rPr>
      <t xml:space="preserve"> - V x I</t>
    </r>
    <r>
      <rPr>
        <vertAlign val="subscript"/>
        <sz val="10"/>
        <rFont val="Verdana"/>
      </rPr>
      <t>o</t>
    </r>
    <r>
      <rPr>
        <sz val="10"/>
        <rFont val="Verdana"/>
      </rPr>
      <t>)))/(2 x R</t>
    </r>
    <r>
      <rPr>
        <vertAlign val="subscript"/>
        <sz val="10"/>
        <rFont val="Verdana"/>
      </rPr>
      <t>b</t>
    </r>
    <r>
      <rPr>
        <sz val="10"/>
        <rFont val="Verdana"/>
      </rPr>
      <t>)</t>
    </r>
    <phoneticPr fontId="3" type="noConversion"/>
  </si>
  <si>
    <t>aimants néodyme grade 35 à 40</t>
  </si>
  <si>
    <t>aimants ferrite</t>
  </si>
  <si>
    <t>9300 à 9500</t>
  </si>
  <si>
    <t>9500 à 9700</t>
  </si>
  <si>
    <t>7300 à 7500</t>
  </si>
  <si>
    <t>watts</t>
    <phoneticPr fontId="3" type="noConversion"/>
  </si>
  <si>
    <r>
      <t>ŋ= 100 x (P</t>
    </r>
    <r>
      <rPr>
        <vertAlign val="subscript"/>
        <sz val="10"/>
        <rFont val="Verdana"/>
      </rPr>
      <t>in</t>
    </r>
    <r>
      <rPr>
        <sz val="10"/>
        <rFont val="Verdana"/>
      </rPr>
      <t>/P</t>
    </r>
    <r>
      <rPr>
        <vertAlign val="subscript"/>
        <sz val="10"/>
        <rFont val="Verdana"/>
      </rPr>
      <t>out</t>
    </r>
    <r>
      <rPr>
        <sz val="10"/>
        <rFont val="Verdana"/>
      </rPr>
      <t>)</t>
    </r>
  </si>
  <si>
    <t>constante de qualité</t>
  </si>
  <si>
    <r>
      <t>K</t>
    </r>
    <r>
      <rPr>
        <vertAlign val="subscript"/>
        <sz val="10"/>
        <rFont val="Verdana"/>
      </rPr>
      <t>q</t>
    </r>
  </si>
  <si>
    <t>trs.mNm/min.watt</t>
  </si>
  <si>
    <r>
      <t>K</t>
    </r>
    <r>
      <rPr>
        <vertAlign val="subscript"/>
        <sz val="10"/>
        <rFont val="Verdana"/>
      </rPr>
      <t>q</t>
    </r>
    <r>
      <rPr>
        <sz val="10"/>
        <rFont val="Verdana"/>
      </rPr>
      <t>=K</t>
    </r>
    <r>
      <rPr>
        <vertAlign val="subscript"/>
        <sz val="10"/>
        <rFont val="Verdana"/>
      </rPr>
      <t>m</t>
    </r>
    <r>
      <rPr>
        <sz val="10"/>
        <rFont val="Verdana"/>
      </rPr>
      <t xml:space="preserve"> x K</t>
    </r>
    <r>
      <rPr>
        <vertAlign val="subscript"/>
        <sz val="10"/>
        <rFont val="Verdana"/>
      </rPr>
      <t>V</t>
    </r>
  </si>
  <si>
    <t>relevés à 100% de gaz</t>
    <phoneticPr fontId="3" type="noConversion"/>
  </si>
  <si>
    <t>hélice</t>
    <phoneticPr fontId="3" type="noConversion"/>
  </si>
  <si>
    <t>13x4</t>
    <phoneticPr fontId="3" type="noConversion"/>
  </si>
  <si>
    <t>13x4</t>
    <phoneticPr fontId="3" type="noConversion"/>
  </si>
  <si>
    <t>13x6,5</t>
    <phoneticPr fontId="3" type="noConversion"/>
  </si>
  <si>
    <t>13x6,5</t>
    <phoneticPr fontId="3" type="noConversion"/>
  </si>
  <si>
    <t>V</t>
    <phoneticPr fontId="3" type="noConversion"/>
  </si>
  <si>
    <t>I</t>
    <phoneticPr fontId="3" type="noConversion"/>
  </si>
  <si>
    <t>F</t>
    <phoneticPr fontId="3" type="noConversion"/>
  </si>
  <si>
    <t>RPM</t>
    <phoneticPr fontId="3" type="noConversion"/>
  </si>
  <si>
    <t>calcul Rb</t>
    <phoneticPr fontId="3" type="noConversion"/>
  </si>
  <si>
    <t>ŋ</t>
    <phoneticPr fontId="3" type="noConversion"/>
  </si>
  <si>
    <t>Pout selon ŋ</t>
    <phoneticPr fontId="3" type="noConversion"/>
  </si>
  <si>
    <r>
      <t>C=1000 x Km x (I - I</t>
    </r>
    <r>
      <rPr>
        <vertAlign val="subscript"/>
        <sz val="10"/>
        <rFont val="Verdana"/>
      </rPr>
      <t>o</t>
    </r>
    <r>
      <rPr>
        <sz val="10"/>
        <rFont val="Verdana"/>
      </rPr>
      <t>)</t>
    </r>
    <phoneticPr fontId="3" type="noConversion"/>
  </si>
  <si>
    <t>Rb+Rc</t>
    <phoneticPr fontId="3" type="noConversion"/>
  </si>
  <si>
    <t>Amp</t>
    <phoneticPr fontId="3" type="noConversion"/>
  </si>
  <si>
    <r>
      <t>P=1,8.10</t>
    </r>
    <r>
      <rPr>
        <vertAlign val="superscript"/>
        <sz val="10"/>
        <rFont val="Verdana"/>
      </rPr>
      <t>-7</t>
    </r>
    <r>
      <rPr>
        <sz val="10"/>
        <rFont val="Verdana"/>
      </rPr>
      <t xml:space="preserve"> D</t>
    </r>
    <r>
      <rPr>
        <vertAlign val="superscript"/>
        <sz val="10"/>
        <rFont val="Verdana"/>
      </rPr>
      <t>4</t>
    </r>
    <r>
      <rPr>
        <sz val="10"/>
        <rFont val="Verdana"/>
      </rPr>
      <t xml:space="preserve"> Pa n</t>
    </r>
    <r>
      <rPr>
        <vertAlign val="superscript"/>
        <sz val="10"/>
        <rFont val="Verdana"/>
      </rPr>
      <t>3</t>
    </r>
    <r>
      <rPr>
        <sz val="10"/>
        <rFont val="Verdana"/>
      </rPr>
      <t xml:space="preserve"> N</t>
    </r>
    <r>
      <rPr>
        <vertAlign val="subscript"/>
        <sz val="10"/>
        <rFont val="Verdana"/>
      </rPr>
      <t>p</t>
    </r>
    <r>
      <rPr>
        <sz val="10"/>
        <rFont val="Verdana"/>
      </rPr>
      <t xml:space="preserve"> K</t>
    </r>
    <r>
      <rPr>
        <vertAlign val="subscript"/>
        <sz val="10"/>
        <rFont val="Verdana"/>
      </rPr>
      <t>p</t>
    </r>
    <phoneticPr fontId="3" type="noConversion"/>
  </si>
  <si>
    <t>Cst</t>
    <phoneticPr fontId="3" type="noConversion"/>
  </si>
  <si>
    <t>Puissance mécanique</t>
    <phoneticPr fontId="3" type="noConversion"/>
  </si>
  <si>
    <t>Puissance électrique</t>
    <phoneticPr fontId="3" type="noConversion"/>
  </si>
  <si>
    <t>vent d'hélice</t>
    <phoneticPr fontId="3" type="noConversion"/>
  </si>
  <si>
    <t>m/sec</t>
    <phoneticPr fontId="3" type="noConversion"/>
  </si>
  <si>
    <t>Kg</t>
    <phoneticPr fontId="3" type="noConversion"/>
  </si>
  <si>
    <t>traction</t>
    <phoneticPr fontId="3" type="noConversion"/>
  </si>
  <si>
    <r>
      <t>I</t>
    </r>
    <r>
      <rPr>
        <vertAlign val="subscript"/>
        <sz val="10"/>
        <rFont val="Verdana"/>
      </rPr>
      <t>max eff</t>
    </r>
    <phoneticPr fontId="3" type="noConversion"/>
  </si>
  <si>
    <r>
      <t>ŋ</t>
    </r>
    <r>
      <rPr>
        <vertAlign val="subscript"/>
        <sz val="10"/>
        <rFont val="Verdana"/>
      </rPr>
      <t>max</t>
    </r>
    <r>
      <rPr>
        <sz val="10"/>
        <rFont val="Verdana"/>
      </rPr>
      <t>=((I</t>
    </r>
    <r>
      <rPr>
        <vertAlign val="subscript"/>
        <sz val="10"/>
        <rFont val="Verdana"/>
      </rPr>
      <t>max eff</t>
    </r>
    <r>
      <rPr>
        <sz val="10"/>
        <rFont val="Verdana"/>
      </rPr>
      <t xml:space="preserve"> - I</t>
    </r>
    <r>
      <rPr>
        <vertAlign val="subscript"/>
        <sz val="10"/>
        <rFont val="Verdana"/>
      </rPr>
      <t>o</t>
    </r>
    <r>
      <rPr>
        <sz val="10"/>
        <rFont val="Verdana"/>
      </rPr>
      <t>)/I</t>
    </r>
    <r>
      <rPr>
        <vertAlign val="subscript"/>
        <sz val="10"/>
        <rFont val="Verdana"/>
      </rPr>
      <t>max eff</t>
    </r>
    <r>
      <rPr>
        <sz val="10"/>
        <rFont val="Verdana"/>
      </rPr>
      <t>)</t>
    </r>
    <r>
      <rPr>
        <vertAlign val="superscript"/>
        <sz val="10"/>
        <rFont val="Verdana"/>
      </rPr>
      <t>2</t>
    </r>
    <r>
      <rPr>
        <sz val="10"/>
        <rFont val="Verdana"/>
      </rPr>
      <t xml:space="preserve"> x 100</t>
    </r>
    <phoneticPr fontId="3" type="noConversion"/>
  </si>
  <si>
    <r>
      <t>P</t>
    </r>
    <r>
      <rPr>
        <vertAlign val="subscript"/>
        <sz val="10"/>
        <rFont val="Verdana"/>
      </rPr>
      <t>t</t>
    </r>
    <phoneticPr fontId="3" type="noConversion"/>
  </si>
  <si>
    <r>
      <t>n</t>
    </r>
    <r>
      <rPr>
        <vertAlign val="subscript"/>
        <sz val="10"/>
        <rFont val="Verdana"/>
      </rPr>
      <t>m</t>
    </r>
    <r>
      <rPr>
        <sz val="10"/>
        <rFont val="Verdana"/>
      </rPr>
      <t>=K</t>
    </r>
    <r>
      <rPr>
        <vertAlign val="subscript"/>
        <sz val="10"/>
        <rFont val="Verdana"/>
      </rPr>
      <t>v</t>
    </r>
    <r>
      <rPr>
        <sz val="10"/>
        <rFont val="Verdana"/>
      </rPr>
      <t xml:space="preserve"> x (V - I x R</t>
    </r>
    <r>
      <rPr>
        <vertAlign val="subscript"/>
        <sz val="10"/>
        <rFont val="Verdana"/>
      </rPr>
      <t>b</t>
    </r>
    <r>
      <rPr>
        <sz val="10"/>
        <rFont val="Verdana"/>
      </rPr>
      <t>)</t>
    </r>
    <phoneticPr fontId="3" type="noConversion"/>
  </si>
</sst>
</file>

<file path=xl/styles.xml><?xml version="1.0" encoding="utf-8"?>
<styleSheet xmlns="http://schemas.openxmlformats.org/spreadsheetml/2006/main">
  <fonts count="10">
    <font>
      <sz val="10"/>
      <name val="Verdana"/>
    </font>
    <font>
      <sz val="10"/>
      <name val="Verdana"/>
    </font>
    <font>
      <b/>
      <sz val="10"/>
      <name val="Verdana"/>
    </font>
    <font>
      <sz val="8"/>
      <name val="Verdana"/>
    </font>
    <font>
      <vertAlign val="superscript"/>
      <sz val="10"/>
      <name val="Verdana"/>
    </font>
    <font>
      <vertAlign val="subscript"/>
      <sz val="10"/>
      <name val="Verdana"/>
    </font>
    <font>
      <u/>
      <sz val="10"/>
      <color indexed="12"/>
      <name val="Verdana"/>
    </font>
    <font>
      <b/>
      <sz val="12"/>
      <name val="Verdana"/>
    </font>
    <font>
      <u/>
      <sz val="10"/>
      <color indexed="20"/>
      <name val="Verdana"/>
    </font>
    <font>
      <b/>
      <i/>
      <sz val="12"/>
      <name val="Verdana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0" xfId="0" applyFill="1" applyBorder="1"/>
    <xf numFmtId="0" fontId="0" fillId="6" borderId="0" xfId="0" applyFill="1"/>
    <xf numFmtId="0" fontId="0" fillId="5" borderId="0" xfId="0" applyFill="1"/>
    <xf numFmtId="0" fontId="0" fillId="0" borderId="0" xfId="0" applyFont="1"/>
    <xf numFmtId="0" fontId="0" fillId="0" borderId="5" xfId="0" applyFill="1" applyBorder="1"/>
    <xf numFmtId="0" fontId="0" fillId="0" borderId="4" xfId="0" applyFont="1" applyBorder="1"/>
    <xf numFmtId="0" fontId="0" fillId="0" borderId="0" xfId="0" applyBorder="1"/>
    <xf numFmtId="0" fontId="0" fillId="0" borderId="0" xfId="0" applyFill="1" applyBorder="1"/>
    <xf numFmtId="0" fontId="0" fillId="0" borderId="7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12" xfId="0" applyFill="1" applyBorder="1"/>
    <xf numFmtId="0" fontId="0" fillId="0" borderId="8" xfId="0" applyFill="1" applyBorder="1"/>
    <xf numFmtId="0" fontId="0" fillId="7" borderId="10" xfId="0" applyFill="1" applyBorder="1"/>
    <xf numFmtId="0" fontId="0" fillId="7" borderId="0" xfId="0" applyFill="1"/>
    <xf numFmtId="0" fontId="0" fillId="0" borderId="0" xfId="0"/>
    <xf numFmtId="0" fontId="0" fillId="0" borderId="0" xfId="0"/>
    <xf numFmtId="0" fontId="0" fillId="0" borderId="0" xfId="0"/>
    <xf numFmtId="0" fontId="7" fillId="2" borderId="0" xfId="0" applyFont="1" applyFill="1"/>
    <xf numFmtId="0" fontId="9" fillId="0" borderId="0" xfId="0" applyFont="1"/>
    <xf numFmtId="0" fontId="0" fillId="0" borderId="0" xfId="0"/>
    <xf numFmtId="0" fontId="2" fillId="2" borderId="12" xfId="0" applyFont="1" applyFill="1" applyBorder="1"/>
    <xf numFmtId="0" fontId="2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7" xfId="0" applyBorder="1"/>
    <xf numFmtId="11" fontId="0" fillId="0" borderId="0" xfId="0" applyNumberFormat="1" applyFill="1" applyBorder="1"/>
    <xf numFmtId="0" fontId="0" fillId="0" borderId="0" xfId="0"/>
    <xf numFmtId="0" fontId="0" fillId="8" borderId="0" xfId="0" applyFill="1" applyBorder="1"/>
    <xf numFmtId="0" fontId="0" fillId="8" borderId="0" xfId="0" applyFill="1"/>
    <xf numFmtId="0" fontId="0" fillId="4" borderId="0" xfId="0" applyNumberFormat="1" applyFill="1" applyBorder="1"/>
    <xf numFmtId="0" fontId="0" fillId="0" borderId="2" xfId="0" applyBorder="1"/>
    <xf numFmtId="0" fontId="0" fillId="0" borderId="4" xfId="0" applyFill="1" applyBorder="1"/>
    <xf numFmtId="0" fontId="0" fillId="0" borderId="6" xfId="0" applyFill="1" applyBorder="1"/>
    <xf numFmtId="0" fontId="1" fillId="0" borderId="8" xfId="0" applyFont="1" applyFill="1" applyBorder="1"/>
    <xf numFmtId="0" fontId="0" fillId="0" borderId="0" xfId="0"/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Traction/Courant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062964615836064"/>
          <c:y val="0.128691983122363"/>
          <c:w val="0.760568053993251"/>
          <c:h val="0.803215555334064"/>
        </c:manualLayout>
      </c:layout>
      <c:scatterChart>
        <c:scatterStyle val="smoothMarker"/>
        <c:ser>
          <c:idx val="0"/>
          <c:order val="0"/>
          <c:tx>
            <c:v>"traction 13x4"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'5017 Turnigy 620Kv'!$B$8:$B$13</c:f>
              <c:numCache>
                <c:formatCode>General</c:formatCode>
                <c:ptCount val="6"/>
                <c:pt idx="0">
                  <c:v>2.8</c:v>
                </c:pt>
                <c:pt idx="1">
                  <c:v>4.1</c:v>
                </c:pt>
                <c:pt idx="2">
                  <c:v>6.9</c:v>
                </c:pt>
                <c:pt idx="3">
                  <c:v>8.6</c:v>
                </c:pt>
                <c:pt idx="4">
                  <c:v>16.0</c:v>
                </c:pt>
                <c:pt idx="5">
                  <c:v>19.5</c:v>
                </c:pt>
              </c:numCache>
            </c:numRef>
          </c:xVal>
          <c:yVal>
            <c:numRef>
              <c:f>'5017 Turnigy 620Kv'!$A$8:$A$13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1480.0</c:v>
                </c:pt>
                <c:pt idx="5">
                  <c:v>1800.0</c:v>
                </c:pt>
              </c:numCache>
            </c:numRef>
          </c:yVal>
          <c:smooth val="1"/>
        </c:ser>
        <c:ser>
          <c:idx val="1"/>
          <c:order val="1"/>
          <c:tx>
            <c:v>traction 13x6,5</c:v>
          </c:tx>
          <c:spPr>
            <a:ln>
              <a:solidFill>
                <a:srgbClr val="FF6600"/>
              </a:solidFill>
            </a:ln>
          </c:spPr>
          <c:marker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xVal>
            <c:numRef>
              <c:f>'5017 Turnigy 620Kv'!$B$22:$B$27</c:f>
              <c:numCache>
                <c:formatCode>General</c:formatCode>
                <c:ptCount val="6"/>
                <c:pt idx="0">
                  <c:v>2.5</c:v>
                </c:pt>
                <c:pt idx="1">
                  <c:v>4.2</c:v>
                </c:pt>
                <c:pt idx="2">
                  <c:v>6.0</c:v>
                </c:pt>
                <c:pt idx="3">
                  <c:v>9.0</c:v>
                </c:pt>
                <c:pt idx="4">
                  <c:v>22.2</c:v>
                </c:pt>
                <c:pt idx="5">
                  <c:v>25.3</c:v>
                </c:pt>
              </c:numCache>
            </c:numRef>
          </c:xVal>
          <c:yVal>
            <c:numRef>
              <c:f>'5017 Turnigy 620Kv'!$A$22:$A$27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1700.0</c:v>
                </c:pt>
                <c:pt idx="5">
                  <c:v>1900.0</c:v>
                </c:pt>
              </c:numCache>
            </c:numRef>
          </c:yVal>
          <c:smooth val="1"/>
        </c:ser>
        <c:ser>
          <c:idx val="2"/>
          <c:order val="2"/>
          <c:tx>
            <c:v>traction 14x4,7</c:v>
          </c:tx>
          <c:spPr>
            <a:ln>
              <a:solidFill>
                <a:srgbClr val="008000"/>
              </a:solidFill>
            </a:ln>
          </c:spPr>
          <c:marker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'5017 Turnigy 620Kv'!$B$35:$B$40</c:f>
              <c:numCache>
                <c:formatCode>General</c:formatCode>
                <c:ptCount val="6"/>
                <c:pt idx="0">
                  <c:v>2.6</c:v>
                </c:pt>
                <c:pt idx="1">
                  <c:v>4.1</c:v>
                </c:pt>
                <c:pt idx="2">
                  <c:v>7.2</c:v>
                </c:pt>
                <c:pt idx="3">
                  <c:v>8.600000000000001</c:v>
                </c:pt>
                <c:pt idx="4">
                  <c:v>19.2</c:v>
                </c:pt>
                <c:pt idx="5">
                  <c:v>22.5</c:v>
                </c:pt>
              </c:numCache>
            </c:numRef>
          </c:xVal>
          <c:yVal>
            <c:numRef>
              <c:f>'5017 Turnigy 620Kv'!$A$35:$A$40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1450.0</c:v>
                </c:pt>
                <c:pt idx="5">
                  <c:v>1870.0</c:v>
                </c:pt>
              </c:numCache>
            </c:numRef>
          </c:yVal>
          <c:smooth val="1"/>
        </c:ser>
        <c:axId val="631058904"/>
        <c:axId val="631064008"/>
      </c:scatterChart>
      <c:valAx>
        <c:axId val="631058904"/>
        <c:scaling>
          <c:orientation val="minMax"/>
        </c:scaling>
        <c:axPos val="b"/>
        <c:numFmt formatCode="General" sourceLinked="1"/>
        <c:tickLblPos val="nextTo"/>
        <c:crossAx val="631064008"/>
        <c:crosses val="autoZero"/>
        <c:crossBetween val="midCat"/>
      </c:valAx>
      <c:valAx>
        <c:axId val="631064008"/>
        <c:scaling>
          <c:orientation val="minMax"/>
        </c:scaling>
        <c:axPos val="l"/>
        <c:majorGridlines/>
        <c:numFmt formatCode="General" sourceLinked="1"/>
        <c:tickLblPos val="nextTo"/>
        <c:crossAx val="6310589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Traction/Puissance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062964615836064"/>
          <c:y val="0.128691983122363"/>
          <c:w val="0.760568053993251"/>
          <c:h val="0.803215555334064"/>
        </c:manualLayout>
      </c:layout>
      <c:scatterChart>
        <c:scatterStyle val="smoothMarker"/>
        <c:ser>
          <c:idx val="0"/>
          <c:order val="0"/>
          <c:tx>
            <c:v>"traction 13x4"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'5017 Turnigy 620Kv'!$C$8:$C$13</c:f>
              <c:numCache>
                <c:formatCode>General</c:formatCode>
                <c:ptCount val="6"/>
                <c:pt idx="0">
                  <c:v>43.5</c:v>
                </c:pt>
                <c:pt idx="1">
                  <c:v>64.0</c:v>
                </c:pt>
                <c:pt idx="2">
                  <c:v>105.0</c:v>
                </c:pt>
                <c:pt idx="3">
                  <c:v>132.0</c:v>
                </c:pt>
                <c:pt idx="4">
                  <c:v>212.0</c:v>
                </c:pt>
                <c:pt idx="5">
                  <c:v>290.0</c:v>
                </c:pt>
              </c:numCache>
            </c:numRef>
          </c:xVal>
          <c:yVal>
            <c:numRef>
              <c:f>'5017 Turnigy 620Kv'!$A$8:$A$13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1480.0</c:v>
                </c:pt>
                <c:pt idx="5">
                  <c:v>1800.0</c:v>
                </c:pt>
              </c:numCache>
            </c:numRef>
          </c:yVal>
          <c:smooth val="1"/>
        </c:ser>
        <c:ser>
          <c:idx val="1"/>
          <c:order val="1"/>
          <c:tx>
            <c:v>traction 13x6,5</c:v>
          </c:tx>
          <c:spPr>
            <a:ln>
              <a:solidFill>
                <a:srgbClr val="FF6600"/>
              </a:solidFill>
            </a:ln>
          </c:spPr>
          <c:marker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xVal>
            <c:numRef>
              <c:f>'5017 Turnigy 620Kv'!$C$22:$C$27</c:f>
              <c:numCache>
                <c:formatCode>General</c:formatCode>
                <c:ptCount val="6"/>
                <c:pt idx="0">
                  <c:v>37.5</c:v>
                </c:pt>
                <c:pt idx="1">
                  <c:v>62.6</c:v>
                </c:pt>
                <c:pt idx="2">
                  <c:v>87.0</c:v>
                </c:pt>
                <c:pt idx="3">
                  <c:v>130.0</c:v>
                </c:pt>
                <c:pt idx="4">
                  <c:v>283.0</c:v>
                </c:pt>
                <c:pt idx="5">
                  <c:v>350.0</c:v>
                </c:pt>
              </c:numCache>
            </c:numRef>
          </c:xVal>
          <c:yVal>
            <c:numRef>
              <c:f>'5017 Turnigy 620Kv'!$A$22:$A$27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1700.0</c:v>
                </c:pt>
                <c:pt idx="5">
                  <c:v>1900.0</c:v>
                </c:pt>
              </c:numCache>
            </c:numRef>
          </c:yVal>
          <c:smooth val="1"/>
        </c:ser>
        <c:ser>
          <c:idx val="2"/>
          <c:order val="2"/>
          <c:tx>
            <c:v>traction 14x4,7</c:v>
          </c:tx>
          <c:spPr>
            <a:ln>
              <a:solidFill>
                <a:srgbClr val="008000"/>
              </a:solidFill>
            </a:ln>
          </c:spPr>
          <c:marker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'5017 Turnigy 620Kv'!$C$35:$C$40</c:f>
              <c:numCache>
                <c:formatCode>General</c:formatCode>
                <c:ptCount val="6"/>
                <c:pt idx="0">
                  <c:v>39.6</c:v>
                </c:pt>
                <c:pt idx="1">
                  <c:v>62.6</c:v>
                </c:pt>
                <c:pt idx="2">
                  <c:v>107.0</c:v>
                </c:pt>
                <c:pt idx="3">
                  <c:v>130.0</c:v>
                </c:pt>
                <c:pt idx="4">
                  <c:v>249.0</c:v>
                </c:pt>
                <c:pt idx="5">
                  <c:v>319.0</c:v>
                </c:pt>
              </c:numCache>
            </c:numRef>
          </c:xVal>
          <c:yVal>
            <c:numRef>
              <c:f>'5017 Turnigy 620Kv'!$A$35:$A$40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1450.0</c:v>
                </c:pt>
                <c:pt idx="5">
                  <c:v>1870.0</c:v>
                </c:pt>
              </c:numCache>
            </c:numRef>
          </c:yVal>
          <c:smooth val="1"/>
        </c:ser>
        <c:axId val="631100808"/>
        <c:axId val="631105912"/>
      </c:scatterChart>
      <c:valAx>
        <c:axId val="631100808"/>
        <c:scaling>
          <c:orientation val="minMax"/>
        </c:scaling>
        <c:axPos val="b"/>
        <c:numFmt formatCode="General" sourceLinked="1"/>
        <c:tickLblPos val="nextTo"/>
        <c:crossAx val="631105912"/>
        <c:crosses val="autoZero"/>
        <c:crossBetween val="midCat"/>
      </c:valAx>
      <c:valAx>
        <c:axId val="631105912"/>
        <c:scaling>
          <c:orientation val="minMax"/>
        </c:scaling>
        <c:axPos val="l"/>
        <c:majorGridlines/>
        <c:numFmt formatCode="General" sourceLinked="1"/>
        <c:tickLblPos val="nextTo"/>
        <c:crossAx val="6311008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Vitesse/Courant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13x4</c:v>
          </c:tx>
          <c:dPt>
            <c:idx val="0"/>
            <c:marker>
              <c:spPr>
                <a:solidFill>
                  <a:srgbClr val="FF0000"/>
                </a:solidFill>
              </c:spPr>
            </c:marker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spPr>
              <a:ln>
                <a:solidFill>
                  <a:srgbClr val="FF0000"/>
                </a:solidFill>
              </a:ln>
            </c:spPr>
          </c:dPt>
          <c:dPt>
            <c:idx val="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spPr>
              <a:ln>
                <a:solidFill>
                  <a:srgbClr val="FF0000"/>
                </a:solidFill>
              </a:ln>
            </c:spPr>
          </c:dPt>
          <c:dPt>
            <c:idx val="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spPr>
              <a:ln>
                <a:solidFill>
                  <a:srgbClr val="FF0000"/>
                </a:solidFill>
              </a:ln>
            </c:spPr>
          </c:dPt>
          <c:dPt>
            <c:idx val="4"/>
            <c:marker>
              <c:spPr>
                <a:ln>
                  <a:solidFill>
                    <a:srgbClr val="FF0000"/>
                  </a:solidFill>
                </a:ln>
              </c:spPr>
            </c:marker>
            <c:spPr>
              <a:ln>
                <a:solidFill>
                  <a:srgbClr val="FF0000"/>
                </a:solidFill>
              </a:ln>
            </c:spPr>
          </c:dPt>
          <c:xVal>
            <c:numRef>
              <c:f>'5017 Turnigy 620Kv'!$B$8:$B$13</c:f>
              <c:numCache>
                <c:formatCode>General</c:formatCode>
                <c:ptCount val="6"/>
                <c:pt idx="0">
                  <c:v>2.8</c:v>
                </c:pt>
                <c:pt idx="1">
                  <c:v>4.1</c:v>
                </c:pt>
                <c:pt idx="2">
                  <c:v>6.9</c:v>
                </c:pt>
                <c:pt idx="3">
                  <c:v>8.6</c:v>
                </c:pt>
                <c:pt idx="4">
                  <c:v>16.0</c:v>
                </c:pt>
                <c:pt idx="5">
                  <c:v>19.5</c:v>
                </c:pt>
              </c:numCache>
            </c:numRef>
          </c:xVal>
          <c:yVal>
            <c:numRef>
              <c:f>'5017 Turnigy 620Kv'!$D$8:$D$13</c:f>
              <c:numCache>
                <c:formatCode>General</c:formatCode>
                <c:ptCount val="6"/>
                <c:pt idx="0">
                  <c:v>3463.094142857143</c:v>
                </c:pt>
                <c:pt idx="1">
                  <c:v>4162.849365853658</c:v>
                </c:pt>
                <c:pt idx="2">
                  <c:v>5151.671652173912</c:v>
                </c:pt>
                <c:pt idx="3">
                  <c:v>5742.953302325582</c:v>
                </c:pt>
                <c:pt idx="4">
                  <c:v>7143.64</c:v>
                </c:pt>
                <c:pt idx="5">
                  <c:v>7914.79282051282</c:v>
                </c:pt>
              </c:numCache>
            </c:numRef>
          </c:yVal>
          <c:smooth val="1"/>
        </c:ser>
        <c:ser>
          <c:idx val="0"/>
          <c:order val="1"/>
          <c:tx>
            <c:v>13x6,5</c:v>
          </c:tx>
          <c:spPr>
            <a:ln>
              <a:solidFill>
                <a:srgbClr val="FF6600"/>
              </a:solidFill>
            </a:ln>
          </c:spPr>
          <c:marker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xVal>
            <c:numRef>
              <c:f>'5017 Turnigy 620Kv'!$B$22:$B$27</c:f>
              <c:numCache>
                <c:formatCode>General</c:formatCode>
                <c:ptCount val="6"/>
                <c:pt idx="0">
                  <c:v>2.5</c:v>
                </c:pt>
                <c:pt idx="1">
                  <c:v>4.2</c:v>
                </c:pt>
                <c:pt idx="2">
                  <c:v>6.0</c:v>
                </c:pt>
                <c:pt idx="3">
                  <c:v>9.0</c:v>
                </c:pt>
                <c:pt idx="4">
                  <c:v>22.2</c:v>
                </c:pt>
                <c:pt idx="5">
                  <c:v>25.3</c:v>
                </c:pt>
              </c:numCache>
            </c:numRef>
          </c:xVal>
          <c:yVal>
            <c:numRef>
              <c:f>'5017 Turnigy 620Kv'!$D$22:$D$27</c:f>
              <c:numCache>
                <c:formatCode>General</c:formatCode>
                <c:ptCount val="6"/>
                <c:pt idx="0">
                  <c:v>2757.45</c:v>
                </c:pt>
                <c:pt idx="1">
                  <c:v>3483.532000000001</c:v>
                </c:pt>
                <c:pt idx="2">
                  <c:v>3976.37</c:v>
                </c:pt>
                <c:pt idx="3">
                  <c:v>4739.34888888889</c:v>
                </c:pt>
                <c:pt idx="4">
                  <c:v>6417.091603603603</c:v>
                </c:pt>
                <c:pt idx="5">
                  <c:v>6882.987098814229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spPr>
            <a:ln>
              <a:solidFill>
                <a:srgbClr val="008000"/>
              </a:solidFill>
            </a:ln>
          </c:spPr>
          <c:marker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'5017 Turnigy 620Kv'!$B$35:$B$40</c:f>
              <c:numCache>
                <c:formatCode>General</c:formatCode>
                <c:ptCount val="6"/>
                <c:pt idx="0">
                  <c:v>2.6</c:v>
                </c:pt>
                <c:pt idx="1">
                  <c:v>4.1</c:v>
                </c:pt>
                <c:pt idx="2">
                  <c:v>7.2</c:v>
                </c:pt>
                <c:pt idx="3">
                  <c:v>8.600000000000001</c:v>
                </c:pt>
                <c:pt idx="4">
                  <c:v>19.2</c:v>
                </c:pt>
                <c:pt idx="5">
                  <c:v>22.5</c:v>
                </c:pt>
              </c:numCache>
            </c:numRef>
          </c:xVal>
          <c:yVal>
            <c:numRef>
              <c:f>'5017 Turnigy 620Kv'!$D$35:$D$40</c:f>
              <c:numCache>
                <c:formatCode>General</c:formatCode>
                <c:ptCount val="6"/>
                <c:pt idx="0">
                  <c:v>3036.550153846153</c:v>
                </c:pt>
                <c:pt idx="1">
                  <c:v>3767.59180487805</c:v>
                </c:pt>
                <c:pt idx="2">
                  <c:v>4729.263555555556</c:v>
                </c:pt>
                <c:pt idx="3">
                  <c:v>5216.097488372091</c:v>
                </c:pt>
                <c:pt idx="4">
                  <c:v>6754.993</c:v>
                </c:pt>
                <c:pt idx="5">
                  <c:v>7283.622222222223</c:v>
                </c:pt>
              </c:numCache>
            </c:numRef>
          </c:yVal>
          <c:smooth val="1"/>
        </c:ser>
        <c:axId val="631152408"/>
        <c:axId val="631157496"/>
      </c:scatterChart>
      <c:valAx>
        <c:axId val="631152408"/>
        <c:scaling>
          <c:orientation val="minMax"/>
        </c:scaling>
        <c:axPos val="b"/>
        <c:numFmt formatCode="General" sourceLinked="1"/>
        <c:tickLblPos val="nextTo"/>
        <c:crossAx val="631157496"/>
        <c:crosses val="autoZero"/>
        <c:crossBetween val="midCat"/>
      </c:valAx>
      <c:valAx>
        <c:axId val="631157496"/>
        <c:scaling>
          <c:orientation val="minMax"/>
        </c:scaling>
        <c:axPos val="l"/>
        <c:majorGridlines/>
        <c:numFmt formatCode="General" sourceLinked="1"/>
        <c:tickLblPos val="nextTo"/>
        <c:crossAx val="631152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Vitesse/Puissance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13x4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'5017 Turnigy 620Kv'!$C$8:$C$13</c:f>
              <c:numCache>
                <c:formatCode>General</c:formatCode>
                <c:ptCount val="6"/>
                <c:pt idx="0">
                  <c:v>43.5</c:v>
                </c:pt>
                <c:pt idx="1">
                  <c:v>64.0</c:v>
                </c:pt>
                <c:pt idx="2">
                  <c:v>105.0</c:v>
                </c:pt>
                <c:pt idx="3">
                  <c:v>132.0</c:v>
                </c:pt>
                <c:pt idx="4">
                  <c:v>212.0</c:v>
                </c:pt>
                <c:pt idx="5">
                  <c:v>290.0</c:v>
                </c:pt>
              </c:numCache>
            </c:numRef>
          </c:xVal>
          <c:yVal>
            <c:numRef>
              <c:f>'5017 Turnigy 620Kv'!$D$8:$D$13</c:f>
              <c:numCache>
                <c:formatCode>General</c:formatCode>
                <c:ptCount val="6"/>
                <c:pt idx="0">
                  <c:v>3463.094142857143</c:v>
                </c:pt>
                <c:pt idx="1">
                  <c:v>4162.849365853658</c:v>
                </c:pt>
                <c:pt idx="2">
                  <c:v>5151.671652173912</c:v>
                </c:pt>
                <c:pt idx="3">
                  <c:v>5742.953302325582</c:v>
                </c:pt>
                <c:pt idx="4">
                  <c:v>7143.64</c:v>
                </c:pt>
                <c:pt idx="5">
                  <c:v>7914.79282051282</c:v>
                </c:pt>
              </c:numCache>
            </c:numRef>
          </c:yVal>
          <c:smooth val="1"/>
        </c:ser>
        <c:ser>
          <c:idx val="0"/>
          <c:order val="1"/>
          <c:tx>
            <c:v>13x6,5</c:v>
          </c:tx>
          <c:spPr>
            <a:ln>
              <a:solidFill>
                <a:srgbClr val="FF6600"/>
              </a:solidFill>
            </a:ln>
          </c:spPr>
          <c:marker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xVal>
            <c:numRef>
              <c:f>'5017 Turnigy 620Kv'!$C$22:$C$27</c:f>
              <c:numCache>
                <c:formatCode>General</c:formatCode>
                <c:ptCount val="6"/>
                <c:pt idx="0">
                  <c:v>37.5</c:v>
                </c:pt>
                <c:pt idx="1">
                  <c:v>62.6</c:v>
                </c:pt>
                <c:pt idx="2">
                  <c:v>87.0</c:v>
                </c:pt>
                <c:pt idx="3">
                  <c:v>130.0</c:v>
                </c:pt>
                <c:pt idx="4">
                  <c:v>283.0</c:v>
                </c:pt>
                <c:pt idx="5">
                  <c:v>350.0</c:v>
                </c:pt>
              </c:numCache>
            </c:numRef>
          </c:xVal>
          <c:yVal>
            <c:numRef>
              <c:f>'5017 Turnigy 620Kv'!$D$22:$D$27</c:f>
              <c:numCache>
                <c:formatCode>General</c:formatCode>
                <c:ptCount val="6"/>
                <c:pt idx="0">
                  <c:v>2757.45</c:v>
                </c:pt>
                <c:pt idx="1">
                  <c:v>3483.532000000001</c:v>
                </c:pt>
                <c:pt idx="2">
                  <c:v>3976.37</c:v>
                </c:pt>
                <c:pt idx="3">
                  <c:v>4739.34888888889</c:v>
                </c:pt>
                <c:pt idx="4">
                  <c:v>6417.091603603603</c:v>
                </c:pt>
                <c:pt idx="5">
                  <c:v>6882.987098814229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spPr>
            <a:ln>
              <a:solidFill>
                <a:srgbClr val="008000"/>
              </a:solidFill>
            </a:ln>
          </c:spPr>
          <c:marker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'5017 Turnigy 620Kv'!$C$35:$C$40</c:f>
              <c:numCache>
                <c:formatCode>General</c:formatCode>
                <c:ptCount val="6"/>
                <c:pt idx="0">
                  <c:v>39.6</c:v>
                </c:pt>
                <c:pt idx="1">
                  <c:v>62.6</c:v>
                </c:pt>
                <c:pt idx="2">
                  <c:v>107.0</c:v>
                </c:pt>
                <c:pt idx="3">
                  <c:v>130.0</c:v>
                </c:pt>
                <c:pt idx="4">
                  <c:v>249.0</c:v>
                </c:pt>
                <c:pt idx="5">
                  <c:v>319.0</c:v>
                </c:pt>
              </c:numCache>
            </c:numRef>
          </c:xVal>
          <c:yVal>
            <c:numRef>
              <c:f>'5017 Turnigy 620Kv'!$D$35:$D$40</c:f>
              <c:numCache>
                <c:formatCode>General</c:formatCode>
                <c:ptCount val="6"/>
                <c:pt idx="0">
                  <c:v>3036.550153846153</c:v>
                </c:pt>
                <c:pt idx="1">
                  <c:v>3767.59180487805</c:v>
                </c:pt>
                <c:pt idx="2">
                  <c:v>4729.263555555556</c:v>
                </c:pt>
                <c:pt idx="3">
                  <c:v>5216.097488372091</c:v>
                </c:pt>
                <c:pt idx="4">
                  <c:v>6754.993</c:v>
                </c:pt>
                <c:pt idx="5">
                  <c:v>7283.622222222223</c:v>
                </c:pt>
              </c:numCache>
            </c:numRef>
          </c:yVal>
          <c:smooth val="1"/>
        </c:ser>
        <c:axId val="631190008"/>
        <c:axId val="631195096"/>
      </c:scatterChart>
      <c:valAx>
        <c:axId val="631190008"/>
        <c:scaling>
          <c:orientation val="minMax"/>
        </c:scaling>
        <c:axPos val="b"/>
        <c:numFmt formatCode="General" sourceLinked="1"/>
        <c:tickLblPos val="nextTo"/>
        <c:crossAx val="631195096"/>
        <c:crosses val="autoZero"/>
        <c:crossBetween val="midCat"/>
      </c:valAx>
      <c:valAx>
        <c:axId val="631195096"/>
        <c:scaling>
          <c:orientation val="minMax"/>
        </c:scaling>
        <c:axPos val="l"/>
        <c:majorGridlines/>
        <c:numFmt formatCode="General" sourceLinked="1"/>
        <c:tickLblPos val="nextTo"/>
        <c:crossAx val="6311900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mécanique</a:t>
            </a:r>
          </a:p>
        </c:rich>
      </c:tx>
      <c:layout/>
    </c:title>
    <c:plotArea>
      <c:layout/>
      <c:scatterChart>
        <c:scatterStyle val="smoothMarker"/>
        <c:ser>
          <c:idx val="3"/>
          <c:order val="0"/>
          <c:tx>
            <c:v>13x4 méca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'5017 Turnigy 620Kv'!$A$8:$A$13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1480.0</c:v>
                </c:pt>
                <c:pt idx="5">
                  <c:v>1800.0</c:v>
                </c:pt>
              </c:numCache>
            </c:numRef>
          </c:xVal>
          <c:yVal>
            <c:numRef>
              <c:f>'5017 Turnigy 620Kv'!$S$8:$S$13</c:f>
              <c:numCache>
                <c:formatCode>General</c:formatCode>
                <c:ptCount val="6"/>
                <c:pt idx="0">
                  <c:v>13.29096125954067</c:v>
                </c:pt>
                <c:pt idx="1">
                  <c:v>11.87224462917871</c:v>
                </c:pt>
                <c:pt idx="2">
                  <c:v>10.72324971787076</c:v>
                </c:pt>
                <c:pt idx="3">
                  <c:v>9.857427312111415</c:v>
                </c:pt>
                <c:pt idx="4">
                  <c:v>8.738089924391906</c:v>
                </c:pt>
                <c:pt idx="5">
                  <c:v>7.747351410104036</c:v>
                </c:pt>
              </c:numCache>
            </c:numRef>
          </c:yVal>
          <c:smooth val="1"/>
        </c:ser>
        <c:ser>
          <c:idx val="4"/>
          <c:order val="1"/>
          <c:tx>
            <c:v>13x6,5 méca</c:v>
          </c:tx>
          <c:spPr>
            <a:ln>
              <a:solidFill>
                <a:srgbClr val="FF6600"/>
              </a:solidFill>
            </a:ln>
          </c:spPr>
          <c:marker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xVal>
            <c:numRef>
              <c:f>'5017 Turnigy 620Kv'!$A$22:$A$27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1700.0</c:v>
                </c:pt>
                <c:pt idx="5">
                  <c:v>1900.0</c:v>
                </c:pt>
              </c:numCache>
            </c:numRef>
          </c:xVal>
          <c:yVal>
            <c:numRef>
              <c:f>'5017 Turnigy 620Kv'!$S$22:$S$27</c:f>
              <c:numCache>
                <c:formatCode>General</c:formatCode>
                <c:ptCount val="6"/>
                <c:pt idx="0">
                  <c:v>16.23376517147581</c:v>
                </c:pt>
                <c:pt idx="1">
                  <c:v>12.65165104348424</c:v>
                </c:pt>
                <c:pt idx="2">
                  <c:v>13.74628861102406</c:v>
                </c:pt>
                <c:pt idx="3">
                  <c:v>10.5312386734739</c:v>
                </c:pt>
                <c:pt idx="4">
                  <c:v>7.858797275271774</c:v>
                </c:pt>
                <c:pt idx="5">
                  <c:v>7.131109303079936</c:v>
                </c:pt>
              </c:numCache>
            </c:numRef>
          </c:yVal>
          <c:smooth val="1"/>
        </c:ser>
        <c:ser>
          <c:idx val="5"/>
          <c:order val="2"/>
          <c:tx>
            <c:v>14x4,7 méca</c:v>
          </c:tx>
          <c:spPr>
            <a:ln>
              <a:solidFill>
                <a:srgbClr val="008000"/>
              </a:solidFill>
            </a:ln>
          </c:spPr>
          <c:marker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'5017 Turnigy 620Kv'!$A$35:$A$40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1450.0</c:v>
                </c:pt>
                <c:pt idx="5">
                  <c:v>1870.0</c:v>
                </c:pt>
              </c:numCache>
            </c:numRef>
          </c:xVal>
          <c:yVal>
            <c:numRef>
              <c:f>'5017 Turnigy 620Kv'!$S$35:$S$40</c:f>
              <c:numCache>
                <c:formatCode>General</c:formatCode>
                <c:ptCount val="6"/>
                <c:pt idx="0">
                  <c:v>14.9971785058218</c:v>
                </c:pt>
                <c:pt idx="1">
                  <c:v>12.38696027810402</c:v>
                </c:pt>
                <c:pt idx="2">
                  <c:v>10.73856573654892</c:v>
                </c:pt>
                <c:pt idx="3">
                  <c:v>10.23331082792503</c:v>
                </c:pt>
                <c:pt idx="4">
                  <c:v>7.435013431864523</c:v>
                </c:pt>
                <c:pt idx="5">
                  <c:v>7.508445327989233</c:v>
                </c:pt>
              </c:numCache>
            </c:numRef>
          </c:yVal>
          <c:smooth val="1"/>
        </c:ser>
        <c:ser>
          <c:idx val="0"/>
          <c:order val="3"/>
          <c:tx>
            <c:v>15x5 DJI</c:v>
          </c:tx>
          <c:spPr>
            <a:ln>
              <a:solidFill>
                <a:srgbClr val="558ED5"/>
              </a:solidFill>
            </a:ln>
          </c:spPr>
          <c:marker>
            <c:spPr>
              <a:solidFill>
                <a:srgbClr val="558ED5"/>
              </a:solidFill>
              <a:ln>
                <a:solidFill>
                  <a:srgbClr val="558ED5"/>
                </a:solidFill>
              </a:ln>
            </c:spPr>
          </c:marker>
          <c:xVal>
            <c:strRef>
              <c:f>'5017 Turnigy 620Kv'!$A$66:$A$70</c:f>
              <c:strCache>
                <c:ptCount val="1"/>
                <c:pt idx="0">
                  <c:v>Puissance électrique</c:v>
                </c:pt>
              </c:strCache>
            </c:strRef>
          </c:xVal>
          <c:yVal>
            <c:numRef>
              <c:f>'5017 Turnigy 620Kv'!$S$66:$S$70</c:f>
              <c:numCache>
                <c:formatCode>General</c:formatCode>
                <c:ptCount val="5"/>
              </c:numCache>
            </c:numRef>
          </c:yVal>
          <c:smooth val="1"/>
        </c:ser>
        <c:axId val="678438072"/>
        <c:axId val="678443192"/>
      </c:scatterChart>
      <c:valAx>
        <c:axId val="678438072"/>
        <c:scaling>
          <c:orientation val="minMax"/>
        </c:scaling>
        <c:axPos val="b"/>
        <c:numFmt formatCode="General" sourceLinked="1"/>
        <c:tickLblPos val="nextTo"/>
        <c:crossAx val="678443192"/>
        <c:crosses val="autoZero"/>
        <c:crossBetween val="midCat"/>
      </c:valAx>
      <c:valAx>
        <c:axId val="678443192"/>
        <c:scaling>
          <c:orientation val="minMax"/>
        </c:scaling>
        <c:axPos val="l"/>
        <c:majorGridlines/>
        <c:numFmt formatCode="General" sourceLinked="1"/>
        <c:tickLblPos val="nextTo"/>
        <c:crossAx val="6784380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Efficacité globale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"13x4 total"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'5017 Turnigy 620Kv'!$A$8:$A$13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1480.0</c:v>
                </c:pt>
                <c:pt idx="5">
                  <c:v>1800.0</c:v>
                </c:pt>
              </c:numCache>
            </c:numRef>
          </c:xVal>
          <c:yVal>
            <c:numRef>
              <c:f>'5017 Turnigy 620Kv'!$F$8:$F$13</c:f>
              <c:numCache>
                <c:formatCode>General</c:formatCode>
                <c:ptCount val="6"/>
                <c:pt idx="0">
                  <c:v>9.195402298850574</c:v>
                </c:pt>
                <c:pt idx="1">
                  <c:v>8.59375</c:v>
                </c:pt>
                <c:pt idx="2">
                  <c:v>8.095238095238094</c:v>
                </c:pt>
                <c:pt idx="3">
                  <c:v>7.575757575757576</c:v>
                </c:pt>
                <c:pt idx="4">
                  <c:v>6.981132075471697</c:v>
                </c:pt>
                <c:pt idx="5">
                  <c:v>6.206896551724137</c:v>
                </c:pt>
              </c:numCache>
            </c:numRef>
          </c:yVal>
          <c:smooth val="1"/>
        </c:ser>
        <c:ser>
          <c:idx val="1"/>
          <c:order val="1"/>
          <c:tx>
            <c:v>"13x6,5 total"</c:v>
          </c:tx>
          <c:spPr>
            <a:ln>
              <a:solidFill>
                <a:srgbClr val="FF6600"/>
              </a:solidFill>
            </a:ln>
          </c:spPr>
          <c:marker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xVal>
            <c:numRef>
              <c:f>'5017 Turnigy 620Kv'!$A$22:$A$27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1700.0</c:v>
                </c:pt>
                <c:pt idx="5">
                  <c:v>1900.0</c:v>
                </c:pt>
              </c:numCache>
            </c:numRef>
          </c:xVal>
          <c:yVal>
            <c:numRef>
              <c:f>'5017 Turnigy 620Kv'!$F$22:$F$27</c:f>
              <c:numCache>
                <c:formatCode>General</c:formatCode>
                <c:ptCount val="6"/>
                <c:pt idx="0">
                  <c:v>10.66666666666667</c:v>
                </c:pt>
                <c:pt idx="1">
                  <c:v>8.785942492012779</c:v>
                </c:pt>
                <c:pt idx="2">
                  <c:v>9.770114942528735</c:v>
                </c:pt>
                <c:pt idx="3">
                  <c:v>7.692307692307692</c:v>
                </c:pt>
                <c:pt idx="4">
                  <c:v>6.007067137809187</c:v>
                </c:pt>
                <c:pt idx="5">
                  <c:v>5.428571428571429</c:v>
                </c:pt>
              </c:numCache>
            </c:numRef>
          </c:yVal>
          <c:smooth val="1"/>
        </c:ser>
        <c:ser>
          <c:idx val="2"/>
          <c:order val="2"/>
          <c:tx>
            <c:v>"14x4,7 total"</c:v>
          </c:tx>
          <c:spPr>
            <a:ln>
              <a:solidFill>
                <a:srgbClr val="008000"/>
              </a:solidFill>
            </a:ln>
          </c:spPr>
          <c:marker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'5017 Turnigy 620Kv'!$A$35:$A$40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1450.0</c:v>
                </c:pt>
                <c:pt idx="5">
                  <c:v>1870.0</c:v>
                </c:pt>
              </c:numCache>
            </c:numRef>
          </c:xVal>
          <c:yVal>
            <c:numRef>
              <c:f>'5017 Turnigy 620Kv'!$F$35:$F$40</c:f>
              <c:numCache>
                <c:formatCode>General</c:formatCode>
                <c:ptCount val="6"/>
                <c:pt idx="0">
                  <c:v>10.1010101010101</c:v>
                </c:pt>
                <c:pt idx="1">
                  <c:v>8.785942492012779</c:v>
                </c:pt>
                <c:pt idx="2">
                  <c:v>7.94392523364486</c:v>
                </c:pt>
                <c:pt idx="3">
                  <c:v>7.692307692307692</c:v>
                </c:pt>
                <c:pt idx="4">
                  <c:v>5.823293172690762</c:v>
                </c:pt>
                <c:pt idx="5">
                  <c:v>5.862068965517241</c:v>
                </c:pt>
              </c:numCache>
            </c:numRef>
          </c:yVal>
          <c:smooth val="1"/>
        </c:ser>
        <c:ser>
          <c:idx val="3"/>
          <c:order val="3"/>
          <c:tx>
            <c:v>15x5 DJI</c:v>
          </c:tx>
          <c:spPr>
            <a:ln>
              <a:solidFill>
                <a:srgbClr val="558ED5"/>
              </a:solidFill>
            </a:ln>
          </c:spPr>
          <c:marker>
            <c:spPr>
              <a:solidFill>
                <a:srgbClr val="558ED5"/>
              </a:solidFill>
              <a:ln>
                <a:solidFill>
                  <a:srgbClr val="558ED5"/>
                </a:solidFill>
              </a:ln>
            </c:spPr>
          </c:marker>
          <c:xVal>
            <c:strRef>
              <c:f>'5017 Turnigy 620Kv'!$A$66:$A$70</c:f>
              <c:strCache>
                <c:ptCount val="1"/>
                <c:pt idx="0">
                  <c:v>Puissance électrique</c:v>
                </c:pt>
              </c:strCache>
            </c:strRef>
          </c:xVal>
          <c:yVal>
            <c:numRef>
              <c:f>'5017 Turnigy 620Kv'!$F$66:$F$70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</c:numCache>
            </c:numRef>
          </c:yVal>
          <c:smooth val="1"/>
        </c:ser>
        <c:ser>
          <c:idx val="4"/>
          <c:order val="4"/>
          <c:tx>
            <c:v>15x5 DJI DC34</c:v>
          </c:tx>
          <c:xVal>
            <c:numRef>
              <c:f>'5017 Turnigy 620Kv'!$A$47:$A$51</c:f>
              <c:numCache>
                <c:formatCode>General</c:formatCode>
                <c:ptCount val="5"/>
                <c:pt idx="0">
                  <c:v>400.0</c:v>
                </c:pt>
                <c:pt idx="1">
                  <c:v>550.0</c:v>
                </c:pt>
                <c:pt idx="2">
                  <c:v>845.0</c:v>
                </c:pt>
                <c:pt idx="3">
                  <c:v>997.0</c:v>
                </c:pt>
                <c:pt idx="4">
                  <c:v>1877.0</c:v>
                </c:pt>
              </c:numCache>
            </c:numRef>
          </c:xVal>
          <c:yVal>
            <c:numRef>
              <c:f>'5017 Turnigy 620Kv'!$F$47:$F$51</c:f>
              <c:numCache>
                <c:formatCode>General</c:formatCode>
                <c:ptCount val="5"/>
                <c:pt idx="0">
                  <c:v>14.03508771929824</c:v>
                </c:pt>
                <c:pt idx="1">
                  <c:v>12.52847380410023</c:v>
                </c:pt>
                <c:pt idx="2">
                  <c:v>10.52303860523039</c:v>
                </c:pt>
                <c:pt idx="3">
                  <c:v>9.736328125</c:v>
                </c:pt>
                <c:pt idx="4">
                  <c:v>7.275193798449611</c:v>
                </c:pt>
              </c:numCache>
            </c:numRef>
          </c:yVal>
          <c:smooth val="1"/>
        </c:ser>
        <c:axId val="678489240"/>
        <c:axId val="678492392"/>
      </c:scatterChart>
      <c:valAx>
        <c:axId val="678489240"/>
        <c:scaling>
          <c:orientation val="minMax"/>
        </c:scaling>
        <c:axPos val="b"/>
        <c:numFmt formatCode="General" sourceLinked="1"/>
        <c:tickLblPos val="nextTo"/>
        <c:crossAx val="678492392"/>
        <c:crosses val="autoZero"/>
        <c:crossBetween val="midCat"/>
      </c:valAx>
      <c:valAx>
        <c:axId val="678492392"/>
        <c:scaling>
          <c:orientation val="minMax"/>
        </c:scaling>
        <c:axPos val="l"/>
        <c:majorGridlines/>
        <c:numFmt formatCode="General" sourceLinked="1"/>
        <c:tickLblPos val="nextTo"/>
        <c:crossAx val="6784892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13x4 RC Timer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relevé</c:v>
          </c:tx>
          <c:marker>
            <c:symbol val="none"/>
          </c:marker>
          <c:xVal>
            <c:numRef>
              <c:f>'5017 Turnigy 620Kv'!$U$92:$U$96</c:f>
              <c:numCache>
                <c:formatCode>General</c:formatCode>
                <c:ptCount val="5"/>
                <c:pt idx="0">
                  <c:v>3390.0</c:v>
                </c:pt>
                <c:pt idx="1">
                  <c:v>4560.0</c:v>
                </c:pt>
                <c:pt idx="2">
                  <c:v>5400.0</c:v>
                </c:pt>
                <c:pt idx="3">
                  <c:v>5670.0</c:v>
                </c:pt>
                <c:pt idx="4">
                  <c:v>7560.0</c:v>
                </c:pt>
              </c:numCache>
            </c:numRef>
          </c:xVal>
          <c:yVal>
            <c:numRef>
              <c:f>'5017 Turnigy 620Kv'!$V$92:$V$96</c:f>
              <c:numCache>
                <c:formatCode>General</c:formatCode>
                <c:ptCount val="5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1800.0</c:v>
                </c:pt>
              </c:numCache>
            </c:numRef>
          </c:yVal>
          <c:smooth val="1"/>
        </c:ser>
        <c:ser>
          <c:idx val="1"/>
          <c:order val="1"/>
          <c:tx>
            <c:v>calculé</c:v>
          </c:tx>
          <c:marker>
            <c:symbol val="none"/>
          </c:marker>
          <c:xVal>
            <c:numRef>
              <c:f>'5017 Turnigy 620Kv'!$U$92:$U$96</c:f>
              <c:numCache>
                <c:formatCode>General</c:formatCode>
                <c:ptCount val="5"/>
                <c:pt idx="0">
                  <c:v>3390.0</c:v>
                </c:pt>
                <c:pt idx="1">
                  <c:v>4560.0</c:v>
                </c:pt>
                <c:pt idx="2">
                  <c:v>5400.0</c:v>
                </c:pt>
                <c:pt idx="3">
                  <c:v>5670.0</c:v>
                </c:pt>
                <c:pt idx="4">
                  <c:v>7560.0</c:v>
                </c:pt>
              </c:numCache>
            </c:numRef>
          </c:xVal>
          <c:yVal>
            <c:numRef>
              <c:f>'5017 Turnigy 620Kv'!$W$92:$W$96</c:f>
              <c:numCache>
                <c:formatCode>General</c:formatCode>
                <c:ptCount val="5"/>
                <c:pt idx="0">
                  <c:v>344.763</c:v>
                </c:pt>
                <c:pt idx="1">
                  <c:v>623.808</c:v>
                </c:pt>
                <c:pt idx="2">
                  <c:v>874.8000000000001</c:v>
                </c:pt>
                <c:pt idx="3">
                  <c:v>964.4669999999999</c:v>
                </c:pt>
                <c:pt idx="4">
                  <c:v>1714.608</c:v>
                </c:pt>
              </c:numCache>
            </c:numRef>
          </c:yVal>
          <c:smooth val="1"/>
        </c:ser>
        <c:axId val="631218152"/>
        <c:axId val="678507992"/>
      </c:scatterChart>
      <c:valAx>
        <c:axId val="631218152"/>
        <c:scaling>
          <c:orientation val="minMax"/>
        </c:scaling>
        <c:axPos val="b"/>
        <c:numFmt formatCode="General" sourceLinked="1"/>
        <c:tickLblPos val="nextTo"/>
        <c:crossAx val="678507992"/>
        <c:crosses val="autoZero"/>
        <c:crossBetween val="midCat"/>
      </c:valAx>
      <c:valAx>
        <c:axId val="678507992"/>
        <c:scaling>
          <c:orientation val="minMax"/>
        </c:scaling>
        <c:axPos val="l"/>
        <c:majorGridlines/>
        <c:numFmt formatCode="General" sourceLinked="1"/>
        <c:tickLblPos val="nextTo"/>
        <c:crossAx val="6312181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18"/>
  <c:chart>
    <c:title>
      <c:tx>
        <c:rich>
          <a:bodyPr/>
          <a:lstStyle/>
          <a:p>
            <a:pPr>
              <a:defRPr/>
            </a:pPr>
            <a:r>
              <a:rPr lang="fr-FR"/>
              <a:t>rendement Turnigy 5017 620Kv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13x4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'5017 Turnigy 620Kv'!$A$8:$A$13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1480.0</c:v>
                </c:pt>
                <c:pt idx="5">
                  <c:v>1800.0</c:v>
                </c:pt>
              </c:numCache>
            </c:numRef>
          </c:xVal>
          <c:yVal>
            <c:numRef>
              <c:f>'5017 Turnigy 620Kv'!$V$8:$V$13</c:f>
              <c:numCache>
                <c:formatCode>General</c:formatCode>
                <c:ptCount val="6"/>
                <c:pt idx="0">
                  <c:v>69.18538184926109</c:v>
                </c:pt>
                <c:pt idx="1">
                  <c:v>72.38521668327933</c:v>
                </c:pt>
                <c:pt idx="2">
                  <c:v>75.49239557246376</c:v>
                </c:pt>
                <c:pt idx="3">
                  <c:v>76.85329382494714</c:v>
                </c:pt>
                <c:pt idx="4">
                  <c:v>79.89311320754717</c:v>
                </c:pt>
                <c:pt idx="5">
                  <c:v>80.11636781609197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xVal>
            <c:numRef>
              <c:f>'5017 Turnigy 620Kv'!$A$22:$A$27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1700.0</c:v>
                </c:pt>
                <c:pt idx="5">
                  <c:v>1900.0</c:v>
                </c:pt>
              </c:numCache>
            </c:numRef>
          </c:xVal>
          <c:yVal>
            <c:numRef>
              <c:f>'5017 Turnigy 620Kv'!$V$22:$V$27</c:f>
              <c:numCache>
                <c:formatCode>General</c:formatCode>
                <c:ptCount val="6"/>
                <c:pt idx="0">
                  <c:v>65.70667096632</c:v>
                </c:pt>
                <c:pt idx="1">
                  <c:v>69.44502707049968</c:v>
                </c:pt>
                <c:pt idx="2">
                  <c:v>71.07456579002298</c:v>
                </c:pt>
                <c:pt idx="3">
                  <c:v>73.04276287729657</c:v>
                </c:pt>
                <c:pt idx="4">
                  <c:v>76.43748690032788</c:v>
                </c:pt>
                <c:pt idx="5">
                  <c:v>76.12520293619424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'5017 Turnigy 620Kv'!$A$35:$A$40</c:f>
              <c:numCache>
                <c:formatCode>General</c:formatCode>
                <c:ptCount val="6"/>
                <c:pt idx="0">
                  <c:v>400.0</c:v>
                </c:pt>
                <c:pt idx="1">
                  <c:v>550.0</c:v>
                </c:pt>
                <c:pt idx="2">
                  <c:v>850.0</c:v>
                </c:pt>
                <c:pt idx="3">
                  <c:v>1000.0</c:v>
                </c:pt>
                <c:pt idx="4">
                  <c:v>1450.0</c:v>
                </c:pt>
                <c:pt idx="5">
                  <c:v>1870.0</c:v>
                </c:pt>
              </c:numCache>
            </c:numRef>
          </c:xVal>
          <c:yVal>
            <c:numRef>
              <c:f>'5017 Turnigy 620Kv'!$V$35:$V$40</c:f>
              <c:numCache>
                <c:formatCode>General</c:formatCode>
                <c:ptCount val="6"/>
                <c:pt idx="0">
                  <c:v>67.35273636363638</c:v>
                </c:pt>
                <c:pt idx="1">
                  <c:v>70.92896315767942</c:v>
                </c:pt>
                <c:pt idx="2">
                  <c:v>73.97566331048804</c:v>
                </c:pt>
                <c:pt idx="3">
                  <c:v>75.16929585796066</c:v>
                </c:pt>
                <c:pt idx="4">
                  <c:v>78.32256425702812</c:v>
                </c:pt>
                <c:pt idx="5">
                  <c:v>78.07300592128179</c:v>
                </c:pt>
              </c:numCache>
            </c:numRef>
          </c:yVal>
          <c:smooth val="1"/>
        </c:ser>
        <c:ser>
          <c:idx val="3"/>
          <c:order val="3"/>
          <c:tx>
            <c:v>15x5 DJI (DC34)</c:v>
          </c:tx>
          <c:marker>
            <c:symbol val="none"/>
          </c:marker>
          <c:xVal>
            <c:numRef>
              <c:f>'5017 Turnigy 620Kv'!$A$47:$A$51</c:f>
              <c:numCache>
                <c:formatCode>General</c:formatCode>
                <c:ptCount val="5"/>
                <c:pt idx="0">
                  <c:v>400.0</c:v>
                </c:pt>
                <c:pt idx="1">
                  <c:v>550.0</c:v>
                </c:pt>
                <c:pt idx="2">
                  <c:v>845.0</c:v>
                </c:pt>
                <c:pt idx="3">
                  <c:v>997.0</c:v>
                </c:pt>
                <c:pt idx="4">
                  <c:v>1877.0</c:v>
                </c:pt>
              </c:numCache>
            </c:numRef>
          </c:xVal>
          <c:yVal>
            <c:numRef>
              <c:f>'5017 Turnigy 620Kv'!$V$47:$V$51</c:f>
              <c:numCache>
                <c:formatCode>General</c:formatCode>
                <c:ptCount val="5"/>
                <c:pt idx="0">
                  <c:v>67.28965193286201</c:v>
                </c:pt>
                <c:pt idx="1">
                  <c:v>70.0726532883726</c:v>
                </c:pt>
                <c:pt idx="2">
                  <c:v>72.30453441031417</c:v>
                </c:pt>
                <c:pt idx="3">
                  <c:v>72.68658695954927</c:v>
                </c:pt>
                <c:pt idx="4">
                  <c:v>73.62049612403101</c:v>
                </c:pt>
              </c:numCache>
            </c:numRef>
          </c:yVal>
          <c:smooth val="1"/>
        </c:ser>
        <c:axId val="678558040"/>
        <c:axId val="678561256"/>
      </c:scatterChart>
      <c:valAx>
        <c:axId val="678558040"/>
        <c:scaling>
          <c:orientation val="minMax"/>
        </c:scaling>
        <c:axPos val="b"/>
        <c:numFmt formatCode="General" sourceLinked="1"/>
        <c:tickLblPos val="nextTo"/>
        <c:crossAx val="678561256"/>
        <c:crosses val="autoZero"/>
        <c:crossBetween val="midCat"/>
      </c:valAx>
      <c:valAx>
        <c:axId val="678561256"/>
        <c:scaling>
          <c:orientation val="minMax"/>
        </c:scaling>
        <c:axPos val="l"/>
        <c:majorGridlines/>
        <c:numFmt formatCode="General" sourceLinked="1"/>
        <c:tickLblPos val="nextTo"/>
        <c:crossAx val="6785580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4"/>
  <c:chart>
    <c:title>
      <c:tx>
        <c:rich>
          <a:bodyPr/>
          <a:lstStyle/>
          <a:p>
            <a:pPr>
              <a:defRPr/>
            </a:pPr>
            <a:r>
              <a:rPr lang="fr-FR"/>
              <a:t>relevés hélices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0612214616389032"/>
          <c:y val="0.104255319148936"/>
          <c:w val="0.791601709334072"/>
          <c:h val="0.831328028145418"/>
        </c:manualLayout>
      </c:layout>
      <c:scatterChart>
        <c:scatterStyle val="smoothMarker"/>
        <c:ser>
          <c:idx val="0"/>
          <c:order val="0"/>
          <c:tx>
            <c:v>13x4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'relevés hélices'!$C$2:$C$6</c:f>
              <c:numCache>
                <c:formatCode>General</c:formatCode>
                <c:ptCount val="5"/>
                <c:pt idx="0">
                  <c:v>3770.0</c:v>
                </c:pt>
                <c:pt idx="1">
                  <c:v>4110.0</c:v>
                </c:pt>
                <c:pt idx="2">
                  <c:v>5070.0</c:v>
                </c:pt>
                <c:pt idx="3">
                  <c:v>7410.0</c:v>
                </c:pt>
              </c:numCache>
            </c:numRef>
          </c:xVal>
          <c:yVal>
            <c:numRef>
              <c:f>'relevés hélices'!$B$2:$B$6</c:f>
              <c:numCache>
                <c:formatCode>General</c:formatCode>
                <c:ptCount val="5"/>
                <c:pt idx="0">
                  <c:v>325.0</c:v>
                </c:pt>
                <c:pt idx="1">
                  <c:v>455.0</c:v>
                </c:pt>
                <c:pt idx="2">
                  <c:v>760.0</c:v>
                </c:pt>
                <c:pt idx="3">
                  <c:v>1820.0</c:v>
                </c:pt>
              </c:numCache>
            </c:numRef>
          </c:yVal>
          <c:smooth val="1"/>
        </c:ser>
        <c:ser>
          <c:idx val="1"/>
          <c:order val="1"/>
          <c:tx>
            <c:v>13x6,5</c:v>
          </c:tx>
          <c:spPr>
            <a:ln>
              <a:solidFill>
                <a:srgbClr val="FF6600"/>
              </a:solidFill>
            </a:ln>
          </c:spPr>
          <c:marker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xVal>
            <c:numRef>
              <c:f>'relevés hélices'!$C$8:$C$14</c:f>
              <c:numCache>
                <c:formatCode>General</c:formatCode>
                <c:ptCount val="7"/>
                <c:pt idx="0">
                  <c:v>3240.0</c:v>
                </c:pt>
                <c:pt idx="1">
                  <c:v>3660.0</c:v>
                </c:pt>
                <c:pt idx="2">
                  <c:v>4350.0</c:v>
                </c:pt>
                <c:pt idx="3">
                  <c:v>4940.0</c:v>
                </c:pt>
                <c:pt idx="4">
                  <c:v>5760.0</c:v>
                </c:pt>
                <c:pt idx="5">
                  <c:v>6150.0</c:v>
                </c:pt>
              </c:numCache>
            </c:numRef>
          </c:xVal>
          <c:yVal>
            <c:numRef>
              <c:f>'relevés hélices'!$B$8:$B$14</c:f>
              <c:numCache>
                <c:formatCode>General</c:formatCode>
                <c:ptCount val="7"/>
                <c:pt idx="0">
                  <c:v>405.0</c:v>
                </c:pt>
                <c:pt idx="1">
                  <c:v>540.0</c:v>
                </c:pt>
                <c:pt idx="2">
                  <c:v>795.0</c:v>
                </c:pt>
                <c:pt idx="3">
                  <c:v>1145.0</c:v>
                </c:pt>
                <c:pt idx="4">
                  <c:v>1530.0</c:v>
                </c:pt>
                <c:pt idx="5">
                  <c:v>1875.0</c:v>
                </c:pt>
              </c:numCache>
            </c:numRef>
          </c:yVal>
          <c:smooth val="1"/>
        </c:ser>
        <c:ser>
          <c:idx val="2"/>
          <c:order val="2"/>
          <c:tx>
            <c:v>14x4,7</c:v>
          </c:tx>
          <c:spPr>
            <a:ln>
              <a:solidFill>
                <a:srgbClr val="008000"/>
              </a:solidFill>
            </a:ln>
          </c:spPr>
          <c:marker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'relevés hélices'!$C$16:$C$20</c:f>
              <c:numCache>
                <c:formatCode>General</c:formatCode>
                <c:ptCount val="5"/>
                <c:pt idx="0">
                  <c:v>3520.0</c:v>
                </c:pt>
                <c:pt idx="1">
                  <c:v>4110.0</c:v>
                </c:pt>
                <c:pt idx="2">
                  <c:v>4800.0</c:v>
                </c:pt>
                <c:pt idx="3">
                  <c:v>5880.0</c:v>
                </c:pt>
                <c:pt idx="4">
                  <c:v>6750.0</c:v>
                </c:pt>
              </c:numCache>
            </c:numRef>
          </c:xVal>
          <c:yVal>
            <c:numRef>
              <c:f>'relevés hélices'!$B$16:$B$20</c:f>
              <c:numCache>
                <c:formatCode>General</c:formatCode>
                <c:ptCount val="5"/>
                <c:pt idx="0">
                  <c:v>420.0</c:v>
                </c:pt>
                <c:pt idx="1">
                  <c:v>600.0</c:v>
                </c:pt>
                <c:pt idx="2">
                  <c:v>830.0</c:v>
                </c:pt>
                <c:pt idx="3">
                  <c:v>1300.0</c:v>
                </c:pt>
                <c:pt idx="4">
                  <c:v>1805.0</c:v>
                </c:pt>
              </c:numCache>
            </c:numRef>
          </c:yVal>
          <c:smooth val="1"/>
        </c:ser>
        <c:axId val="97496920"/>
        <c:axId val="679477912"/>
      </c:scatterChart>
      <c:valAx>
        <c:axId val="97496920"/>
        <c:scaling>
          <c:orientation val="minMax"/>
        </c:scaling>
        <c:axPos val="b"/>
        <c:numFmt formatCode="General" sourceLinked="1"/>
        <c:tickLblPos val="nextTo"/>
        <c:crossAx val="679477912"/>
        <c:crosses val="autoZero"/>
        <c:crossBetween val="midCat"/>
      </c:valAx>
      <c:valAx>
        <c:axId val="679477912"/>
        <c:scaling>
          <c:orientation val="minMax"/>
        </c:scaling>
        <c:axPos val="l"/>
        <c:majorGridlines/>
        <c:numFmt formatCode="General" sourceLinked="1"/>
        <c:tickLblPos val="nextTo"/>
        <c:crossAx val="974969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image" Target="../media/image1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80</xdr:row>
      <xdr:rowOff>63500</xdr:rowOff>
    </xdr:from>
    <xdr:to>
      <xdr:col>9</xdr:col>
      <xdr:colOff>25400</xdr:colOff>
      <xdr:row>119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177800</xdr:colOff>
      <xdr:row>121</xdr:row>
      <xdr:rowOff>139700</xdr:rowOff>
    </xdr:from>
    <xdr:to>
      <xdr:col>9</xdr:col>
      <xdr:colOff>38100</xdr:colOff>
      <xdr:row>158</xdr:row>
      <xdr:rowOff>12700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342900</xdr:colOff>
      <xdr:row>80</xdr:row>
      <xdr:rowOff>50800</xdr:rowOff>
    </xdr:from>
    <xdr:to>
      <xdr:col>18</xdr:col>
      <xdr:colOff>812800</xdr:colOff>
      <xdr:row>119</xdr:row>
      <xdr:rowOff>139700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368300</xdr:colOff>
      <xdr:row>121</xdr:row>
      <xdr:rowOff>127000</xdr:rowOff>
    </xdr:from>
    <xdr:to>
      <xdr:col>18</xdr:col>
      <xdr:colOff>800100</xdr:colOff>
      <xdr:row>158</xdr:row>
      <xdr:rowOff>12700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241300</xdr:colOff>
      <xdr:row>160</xdr:row>
      <xdr:rowOff>114300</xdr:rowOff>
    </xdr:from>
    <xdr:to>
      <xdr:col>9</xdr:col>
      <xdr:colOff>101600</xdr:colOff>
      <xdr:row>205</xdr:row>
      <xdr:rowOff>139700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444500</xdr:colOff>
      <xdr:row>160</xdr:row>
      <xdr:rowOff>101600</xdr:rowOff>
    </xdr:from>
    <xdr:to>
      <xdr:col>18</xdr:col>
      <xdr:colOff>774700</xdr:colOff>
      <xdr:row>205</xdr:row>
      <xdr:rowOff>152400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1219200</xdr:colOff>
      <xdr:row>105</xdr:row>
      <xdr:rowOff>88900</xdr:rowOff>
    </xdr:from>
    <xdr:to>
      <xdr:col>28</xdr:col>
      <xdr:colOff>203200</xdr:colOff>
      <xdr:row>143</xdr:row>
      <xdr:rowOff>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25400</xdr:colOff>
      <xdr:row>210</xdr:row>
      <xdr:rowOff>101600</xdr:rowOff>
    </xdr:from>
    <xdr:to>
      <xdr:col>15</xdr:col>
      <xdr:colOff>215900</xdr:colOff>
      <xdr:row>270</xdr:row>
      <xdr:rowOff>101600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11</xdr:col>
      <xdr:colOff>63500</xdr:colOff>
      <xdr:row>64</xdr:row>
      <xdr:rowOff>25400</xdr:rowOff>
    </xdr:from>
    <xdr:to>
      <xdr:col>21</xdr:col>
      <xdr:colOff>127000</xdr:colOff>
      <xdr:row>75</xdr:row>
      <xdr:rowOff>63500</xdr:rowOff>
    </xdr:to>
    <xdr:pic>
      <xdr:nvPicPr>
        <xdr:cNvPr id="11" name="Image 10" descr="Capture d’écran 2013-11-06 à 11.31.43.pn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80700" y="11480800"/>
          <a:ext cx="10274300" cy="208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165100</xdr:colOff>
      <xdr:row>12</xdr:row>
      <xdr:rowOff>38100</xdr:rowOff>
    </xdr:from>
    <xdr:to>
      <xdr:col>15</xdr:col>
      <xdr:colOff>127000</xdr:colOff>
      <xdr:row>48</xdr:row>
      <xdr:rowOff>63500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T168"/>
  <sheetViews>
    <sheetView tabSelected="1" topLeftCell="P1" workbookViewId="0">
      <selection activeCell="AH73" sqref="AH73"/>
    </sheetView>
  </sheetViews>
  <sheetFormatPr baseColWidth="10" defaultRowHeight="13"/>
  <cols>
    <col min="2" max="2" width="12.28515625" bestFit="1" customWidth="1"/>
    <col min="9" max="9" width="12.28515625" style="2" bestFit="1" customWidth="1"/>
    <col min="11" max="11" width="10.7109375" style="32"/>
    <col min="13" max="18" width="10.7109375" style="2"/>
    <col min="19" max="19" width="15.85546875" style="2" bestFit="1" customWidth="1"/>
    <col min="20" max="20" width="12" style="2" bestFit="1" customWidth="1"/>
    <col min="21" max="23" width="12" style="2" customWidth="1"/>
    <col min="25" max="25" width="18.5703125" bestFit="1" customWidth="1"/>
    <col min="29" max="29" width="14.42578125" customWidth="1"/>
    <col min="30" max="30" width="14.42578125" bestFit="1" customWidth="1"/>
    <col min="31" max="31" width="15.28515625" bestFit="1" customWidth="1"/>
    <col min="33" max="34" width="14.42578125" bestFit="1" customWidth="1"/>
    <col min="35" max="35" width="15.28515625" bestFit="1" customWidth="1"/>
  </cols>
  <sheetData>
    <row r="1" spans="1:46" s="29" customFormat="1" ht="16">
      <c r="A1" s="31" t="s">
        <v>18</v>
      </c>
      <c r="I1" s="2"/>
      <c r="K1" s="3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46" ht="16">
      <c r="A2" s="30" t="s">
        <v>128</v>
      </c>
      <c r="B2" s="1"/>
      <c r="C2" s="1"/>
      <c r="D2" s="1"/>
      <c r="E2" s="1"/>
      <c r="F2" s="1"/>
      <c r="K2" s="29" t="s">
        <v>20</v>
      </c>
      <c r="L2">
        <v>620</v>
      </c>
      <c r="Y2" s="28" t="s">
        <v>112</v>
      </c>
      <c r="Z2" s="28"/>
      <c r="AA2" s="28"/>
      <c r="AB2" s="28"/>
      <c r="AC2" s="28"/>
      <c r="AD2" s="28"/>
    </row>
    <row r="3" spans="1:46">
      <c r="G3" s="32"/>
      <c r="K3" s="29" t="s">
        <v>69</v>
      </c>
      <c r="L3">
        <v>0.108</v>
      </c>
      <c r="T3" s="2" t="s">
        <v>101</v>
      </c>
      <c r="Y3" s="28"/>
      <c r="Z3" s="28"/>
      <c r="AA3" s="28"/>
      <c r="AB3" s="28"/>
      <c r="AC3" s="28"/>
      <c r="AD3" s="28"/>
      <c r="AI3" s="36"/>
    </row>
    <row r="4" spans="1:46" ht="15">
      <c r="A4" s="27"/>
      <c r="B4" s="27"/>
      <c r="C4" s="10" t="s">
        <v>125</v>
      </c>
      <c r="D4" s="10"/>
      <c r="E4" s="27"/>
      <c r="F4" s="27" t="s">
        <v>136</v>
      </c>
      <c r="G4" s="27">
        <v>6009</v>
      </c>
      <c r="H4" s="27"/>
      <c r="J4" s="27"/>
      <c r="L4" s="29" t="s">
        <v>196</v>
      </c>
      <c r="T4" s="2" t="s">
        <v>102</v>
      </c>
      <c r="X4" s="27"/>
      <c r="Y4" s="28" t="s">
        <v>113</v>
      </c>
      <c r="Z4" s="28"/>
      <c r="AA4" s="28"/>
      <c r="AB4" s="28"/>
      <c r="AC4" s="28"/>
      <c r="AD4" s="28"/>
    </row>
    <row r="5" spans="1:46">
      <c r="A5" s="27"/>
      <c r="B5" s="27"/>
      <c r="C5" s="27"/>
      <c r="D5" s="27"/>
      <c r="E5" s="27"/>
      <c r="F5" s="27"/>
      <c r="G5" s="27"/>
      <c r="H5" s="27"/>
      <c r="J5" s="27"/>
      <c r="L5" s="27"/>
      <c r="T5" s="2" t="s">
        <v>103</v>
      </c>
      <c r="X5" s="27"/>
      <c r="Y5" s="28"/>
      <c r="Z5" s="28"/>
      <c r="AA5" s="28"/>
      <c r="AB5" s="28"/>
      <c r="AC5" s="28"/>
      <c r="AD5" s="28"/>
      <c r="AI5" s="36"/>
      <c r="AJ5" s="36"/>
      <c r="AK5" s="36"/>
      <c r="AL5" s="36"/>
      <c r="AM5" s="36"/>
      <c r="AN5" s="36"/>
      <c r="AQ5" s="2"/>
      <c r="AR5" s="2"/>
      <c r="AS5" s="2"/>
      <c r="AT5" s="2"/>
    </row>
    <row r="6" spans="1:46" ht="15">
      <c r="A6" s="27"/>
      <c r="B6" s="27"/>
      <c r="C6" s="27"/>
      <c r="D6" s="27"/>
      <c r="E6" s="27"/>
      <c r="F6" s="27"/>
      <c r="G6" s="27"/>
      <c r="H6" s="27"/>
      <c r="J6" s="27"/>
      <c r="L6" s="27"/>
      <c r="M6" s="33" t="s">
        <v>48</v>
      </c>
      <c r="N6" s="34"/>
      <c r="U6" s="2" t="s">
        <v>106</v>
      </c>
      <c r="V6" s="34"/>
      <c r="W6" s="34"/>
      <c r="X6" s="27"/>
      <c r="Y6" s="28" t="s">
        <v>114</v>
      </c>
      <c r="Z6" s="28" t="s">
        <v>25</v>
      </c>
      <c r="AA6" s="28" t="s">
        <v>86</v>
      </c>
      <c r="AB6" s="28" t="s">
        <v>3</v>
      </c>
      <c r="AC6" s="28"/>
      <c r="AD6" s="28"/>
      <c r="AI6" s="36"/>
      <c r="AQ6" s="2"/>
      <c r="AR6" s="2"/>
      <c r="AS6" s="2"/>
      <c r="AT6" s="2"/>
    </row>
    <row r="7" spans="1:46" ht="15">
      <c r="A7" s="10" t="s">
        <v>63</v>
      </c>
      <c r="B7" s="10" t="s">
        <v>121</v>
      </c>
      <c r="C7" s="10" t="s">
        <v>98</v>
      </c>
      <c r="D7" s="3" t="s">
        <v>138</v>
      </c>
      <c r="E7" s="26" t="s">
        <v>119</v>
      </c>
      <c r="F7" s="27" t="s">
        <v>99</v>
      </c>
      <c r="G7" s="27"/>
      <c r="H7" s="10" t="s">
        <v>127</v>
      </c>
      <c r="I7" s="26" t="s">
        <v>181</v>
      </c>
      <c r="J7" s="2"/>
      <c r="K7" s="26" t="s">
        <v>111</v>
      </c>
      <c r="L7" s="11" t="s">
        <v>110</v>
      </c>
      <c r="M7" s="2" t="s">
        <v>22</v>
      </c>
      <c r="O7" s="2" t="s">
        <v>4</v>
      </c>
      <c r="P7" s="29" t="s">
        <v>21</v>
      </c>
      <c r="Q7" s="29" t="s">
        <v>68</v>
      </c>
      <c r="R7" s="26" t="s">
        <v>19</v>
      </c>
      <c r="S7" s="2" t="s">
        <v>23</v>
      </c>
      <c r="T7" s="2" t="s">
        <v>104</v>
      </c>
      <c r="U7" s="2" t="s">
        <v>105</v>
      </c>
      <c r="V7" s="2" t="s">
        <v>107</v>
      </c>
      <c r="Y7" s="28" t="s">
        <v>115</v>
      </c>
      <c r="Z7" s="28" t="s">
        <v>26</v>
      </c>
      <c r="AA7" s="28" t="s">
        <v>79</v>
      </c>
      <c r="AB7" s="28" t="s">
        <v>90</v>
      </c>
      <c r="AC7" s="28"/>
      <c r="AD7" s="28"/>
      <c r="AI7" s="36"/>
      <c r="AN7" s="36"/>
      <c r="AQ7" s="2"/>
      <c r="AR7" s="2"/>
      <c r="AS7" s="2"/>
      <c r="AT7" s="2"/>
    </row>
    <row r="8" spans="1:46" ht="15">
      <c r="A8" s="10">
        <v>400</v>
      </c>
      <c r="B8" s="10">
        <v>2.8</v>
      </c>
      <c r="C8" s="10">
        <v>43.5</v>
      </c>
      <c r="D8" s="3">
        <f>R8</f>
        <v>3463.0941428571432</v>
      </c>
      <c r="E8" s="26">
        <f>I8/C8*100</f>
        <v>69.185381849261091</v>
      </c>
      <c r="F8" s="2">
        <f t="shared" ref="F8:F13" si="0">A8/C8</f>
        <v>9.1954022988505741</v>
      </c>
      <c r="G8" s="27" t="s">
        <v>100</v>
      </c>
      <c r="H8" s="10">
        <f t="shared" ref="H8:H13" si="1">C8/B8</f>
        <v>15.535714285714286</v>
      </c>
      <c r="I8" s="26">
        <f>C8*V8/100</f>
        <v>30.095641104428573</v>
      </c>
      <c r="J8" s="2"/>
      <c r="K8" s="26">
        <f t="shared" ref="K8:K13" si="2">POWER(D8/$G$4,3)*100</f>
        <v>19.141954582839873</v>
      </c>
      <c r="L8" s="11">
        <f>1.30652287/(13*0.0254)*POWER(A8*0.00981,3/2)</f>
        <v>30.756254460509432</v>
      </c>
      <c r="M8" s="2">
        <v>37.9</v>
      </c>
      <c r="N8" s="2">
        <f t="shared" ref="N8:N11" si="3">B8/O8*100</f>
        <v>37.886475881198841</v>
      </c>
      <c r="O8" s="2">
        <f>$O$13*M8/100</f>
        <v>7.3904999999999994</v>
      </c>
      <c r="P8" s="2">
        <f>$L$3*B8*M8/100</f>
        <v>0.11460960000000001</v>
      </c>
      <c r="Q8" s="2">
        <f>H8*M8/100</f>
        <v>5.8880357142857145</v>
      </c>
      <c r="R8" s="26">
        <f t="shared" ref="R8:R13" si="4">$L$2*(Q8-(B8*$L$3))</f>
        <v>3463.0941428571432</v>
      </c>
      <c r="S8" s="2">
        <f>A8/(C8*E8/100)</f>
        <v>13.290961259540671</v>
      </c>
      <c r="T8" s="2">
        <f>I8/(2*PI()*D8/60)</f>
        <v>8.2987118161408135E-2</v>
      </c>
      <c r="U8" s="2">
        <f t="shared" ref="U8:U13" si="5">$L$3*O8*O8+($AA$67*(Q8-P8))</f>
        <v>13.404358895571429</v>
      </c>
      <c r="V8" s="2">
        <f>(C8-U8)/C8*100</f>
        <v>69.185381849261091</v>
      </c>
      <c r="Y8" s="28" t="s">
        <v>165</v>
      </c>
      <c r="Z8" s="28" t="s">
        <v>166</v>
      </c>
      <c r="AA8" s="28" t="s">
        <v>167</v>
      </c>
      <c r="AB8" s="28" t="s">
        <v>168</v>
      </c>
      <c r="AC8" s="28" t="s">
        <v>76</v>
      </c>
      <c r="AE8" s="28" t="s">
        <v>160</v>
      </c>
      <c r="AI8" s="36"/>
      <c r="AN8" s="36"/>
      <c r="AQ8" s="2"/>
      <c r="AR8" s="2"/>
      <c r="AS8" s="2"/>
      <c r="AT8" s="2"/>
    </row>
    <row r="9" spans="1:46">
      <c r="A9" s="10">
        <v>550</v>
      </c>
      <c r="B9" s="10">
        <v>4.0999999999999996</v>
      </c>
      <c r="C9" s="10">
        <v>64</v>
      </c>
      <c r="D9" s="3">
        <f t="shared" ref="D9:D13" si="6">R9</f>
        <v>4162.8493658536581</v>
      </c>
      <c r="E9" s="26">
        <f t="shared" ref="E9:E13" si="7">I9/C9*100</f>
        <v>72.385216683279339</v>
      </c>
      <c r="F9" s="2">
        <f t="shared" si="0"/>
        <v>8.59375</v>
      </c>
      <c r="G9" s="27" t="s">
        <v>100</v>
      </c>
      <c r="H9" s="10">
        <f t="shared" si="1"/>
        <v>15.609756097560977</v>
      </c>
      <c r="I9" s="26">
        <f t="shared" ref="I9:I13" si="8">C9*V9/100</f>
        <v>46.326538677298778</v>
      </c>
      <c r="J9" s="2"/>
      <c r="K9" s="26">
        <f t="shared" si="2"/>
        <v>33.247996195738089</v>
      </c>
      <c r="L9" s="11">
        <f t="shared" ref="L9:L13" si="9">1.30652287/(13*0.0254)*POWER(A9*0.00981,3/2)</f>
        <v>49.589244593182613</v>
      </c>
      <c r="M9" s="2">
        <v>45.85</v>
      </c>
      <c r="N9" s="2">
        <f t="shared" si="3"/>
        <v>45.857450437603099</v>
      </c>
      <c r="O9" s="2">
        <f t="shared" ref="O9:O10" si="10">$O$13*M9/100</f>
        <v>8.9407500000000013</v>
      </c>
      <c r="P9" s="2">
        <f t="shared" ref="P9:P13" si="11">$L$3*B9*M9/100</f>
        <v>0.2030238</v>
      </c>
      <c r="Q9" s="2">
        <f t="shared" ref="Q9" si="12">H9*M9/100</f>
        <v>7.1570731707317075</v>
      </c>
      <c r="R9" s="26">
        <f t="shared" si="4"/>
        <v>4162.8493658536581</v>
      </c>
      <c r="S9" s="2">
        <f t="shared" ref="S9:S13" si="13">A9/(C9*E9/100)</f>
        <v>11.872244629178706</v>
      </c>
      <c r="T9" s="2">
        <f t="shared" ref="T9:T13" si="14">I9/(2*PI()*D9/60)</f>
        <v>0.10626996528832609</v>
      </c>
      <c r="U9" s="2">
        <f t="shared" si="5"/>
        <v>17.673461322701222</v>
      </c>
      <c r="V9" s="2">
        <f t="shared" ref="V9:V13" si="15">(C9-U9)/C9*100</f>
        <v>72.385216683279339</v>
      </c>
      <c r="X9" s="29"/>
      <c r="Y9" s="28"/>
      <c r="Z9" s="28"/>
      <c r="AA9" s="28"/>
      <c r="AB9" s="28"/>
      <c r="AC9" s="28" t="s">
        <v>158</v>
      </c>
      <c r="AE9" s="28" t="s">
        <v>161</v>
      </c>
      <c r="AI9" s="36"/>
      <c r="AN9" s="36"/>
      <c r="AQ9" s="2"/>
      <c r="AR9" s="2"/>
      <c r="AS9" s="2"/>
      <c r="AT9" s="2"/>
    </row>
    <row r="10" spans="1:46">
      <c r="A10" s="10">
        <v>850</v>
      </c>
      <c r="B10" s="10">
        <v>6.9</v>
      </c>
      <c r="C10" s="10">
        <v>105</v>
      </c>
      <c r="D10" s="3">
        <f t="shared" si="6"/>
        <v>5151.6716521739127</v>
      </c>
      <c r="E10" s="26">
        <f t="shared" si="7"/>
        <v>75.492395572463764</v>
      </c>
      <c r="F10" s="2">
        <f t="shared" si="0"/>
        <v>8.0952380952380949</v>
      </c>
      <c r="G10" s="27" t="s">
        <v>100</v>
      </c>
      <c r="H10" s="10">
        <f t="shared" si="1"/>
        <v>15.217391304347826</v>
      </c>
      <c r="I10" s="26">
        <f t="shared" si="8"/>
        <v>79.267015351086954</v>
      </c>
      <c r="J10" s="2"/>
      <c r="K10" s="26">
        <f t="shared" si="2"/>
        <v>63.014125397517716</v>
      </c>
      <c r="L10" s="11">
        <f t="shared" si="9"/>
        <v>95.273440119452516</v>
      </c>
      <c r="M10" s="2">
        <v>59.5</v>
      </c>
      <c r="N10" s="2">
        <f t="shared" si="3"/>
        <v>59.469941822883008</v>
      </c>
      <c r="O10" s="2">
        <f t="shared" si="10"/>
        <v>11.602499999999999</v>
      </c>
      <c r="P10" s="2">
        <f t="shared" si="11"/>
        <v>0.44339400000000007</v>
      </c>
      <c r="Q10" s="2">
        <f>H10*M10/100</f>
        <v>9.054347826086957</v>
      </c>
      <c r="R10" s="26">
        <f t="shared" si="4"/>
        <v>5151.6716521739127</v>
      </c>
      <c r="S10" s="2">
        <f t="shared" si="13"/>
        <v>10.723249717870756</v>
      </c>
      <c r="T10" s="2">
        <f t="shared" si="14"/>
        <v>0.14693177091684045</v>
      </c>
      <c r="U10" s="2">
        <f t="shared" si="5"/>
        <v>25.732984648913046</v>
      </c>
      <c r="V10" s="2">
        <f t="shared" si="15"/>
        <v>75.492395572463764</v>
      </c>
      <c r="X10" s="29"/>
      <c r="Y10" s="28"/>
      <c r="Z10" s="28"/>
      <c r="AA10" s="28"/>
      <c r="AB10" s="28"/>
      <c r="AC10" s="28" t="s">
        <v>159</v>
      </c>
      <c r="AE10" s="28" t="s">
        <v>162</v>
      </c>
      <c r="AQ10" s="2"/>
      <c r="AR10" s="2"/>
      <c r="AS10" s="2"/>
      <c r="AT10" s="2"/>
    </row>
    <row r="11" spans="1:46" ht="15">
      <c r="A11" s="10">
        <v>1000</v>
      </c>
      <c r="B11" s="10">
        <v>8.6</v>
      </c>
      <c r="C11" s="10">
        <v>132</v>
      </c>
      <c r="D11" s="3">
        <f t="shared" si="6"/>
        <v>5742.9533023255817</v>
      </c>
      <c r="E11" s="26">
        <f t="shared" si="7"/>
        <v>76.853293824947144</v>
      </c>
      <c r="F11" s="2">
        <f t="shared" si="0"/>
        <v>7.5757575757575761</v>
      </c>
      <c r="G11" s="27" t="s">
        <v>100</v>
      </c>
      <c r="H11" s="10">
        <f t="shared" si="1"/>
        <v>15.348837209302326</v>
      </c>
      <c r="I11" s="26">
        <f t="shared" si="8"/>
        <v>101.44634784893023</v>
      </c>
      <c r="J11" s="2"/>
      <c r="K11" s="26">
        <f t="shared" si="2"/>
        <v>87.296984616993171</v>
      </c>
      <c r="L11" s="11">
        <f t="shared" si="9"/>
        <v>121.57477048865381</v>
      </c>
      <c r="M11" s="2">
        <v>66.400000000000006</v>
      </c>
      <c r="N11" s="2">
        <f t="shared" si="3"/>
        <v>66.419524250849534</v>
      </c>
      <c r="O11" s="2">
        <f>$O$13*M11/100</f>
        <v>12.948000000000002</v>
      </c>
      <c r="P11" s="2">
        <f t="shared" si="11"/>
        <v>0.61672320000000003</v>
      </c>
      <c r="Q11" s="2">
        <f>H11*M11/100</f>
        <v>10.191627906976745</v>
      </c>
      <c r="R11" s="26">
        <f t="shared" si="4"/>
        <v>5742.9533023255817</v>
      </c>
      <c r="S11" s="2">
        <f t="shared" si="13"/>
        <v>9.8574273121114153</v>
      </c>
      <c r="T11" s="2">
        <f t="shared" si="14"/>
        <v>0.16868346513184068</v>
      </c>
      <c r="U11" s="2">
        <f t="shared" si="5"/>
        <v>30.553652151069777</v>
      </c>
      <c r="V11" s="2">
        <f t="shared" si="15"/>
        <v>76.853293824947144</v>
      </c>
      <c r="X11" s="29"/>
      <c r="Y11" s="28" t="s">
        <v>116</v>
      </c>
      <c r="Z11" s="36" t="s">
        <v>180</v>
      </c>
      <c r="AA11" s="28" t="s">
        <v>5</v>
      </c>
      <c r="AB11" s="28" t="s">
        <v>164</v>
      </c>
      <c r="AC11" s="28"/>
      <c r="AD11" s="28"/>
      <c r="AQ11" s="2"/>
      <c r="AR11" s="2"/>
      <c r="AS11" s="2"/>
      <c r="AT11" s="2"/>
    </row>
    <row r="12" spans="1:46" s="38" customFormat="1">
      <c r="A12" s="10">
        <v>1480</v>
      </c>
      <c r="B12" s="10">
        <v>16</v>
      </c>
      <c r="C12" s="10">
        <v>212</v>
      </c>
      <c r="D12" s="3">
        <f t="shared" ref="D12" si="16">R12</f>
        <v>7143.64</v>
      </c>
      <c r="E12" s="26">
        <f t="shared" ref="E12" si="17">I12/C12*100</f>
        <v>79.893113207547174</v>
      </c>
      <c r="F12" s="2">
        <f t="shared" si="0"/>
        <v>6.9811320754716979</v>
      </c>
      <c r="G12" s="38" t="s">
        <v>100</v>
      </c>
      <c r="H12" s="10">
        <f t="shared" si="1"/>
        <v>13.25</v>
      </c>
      <c r="I12" s="26">
        <f t="shared" si="8"/>
        <v>169.3734</v>
      </c>
      <c r="J12" s="2"/>
      <c r="K12" s="26">
        <f t="shared" si="2"/>
        <v>168.01655244938763</v>
      </c>
      <c r="L12" s="11">
        <f t="shared" si="9"/>
        <v>218.89509573316474</v>
      </c>
      <c r="M12" s="2">
        <v>100</v>
      </c>
      <c r="N12" s="2">
        <f>B12/O12*100</f>
        <v>100</v>
      </c>
      <c r="O12" s="2">
        <f>C12/Q12</f>
        <v>16</v>
      </c>
      <c r="P12" s="2">
        <f t="shared" si="11"/>
        <v>1.7280000000000002</v>
      </c>
      <c r="Q12" s="2">
        <f>H12*M12/100</f>
        <v>13.25</v>
      </c>
      <c r="R12" s="26">
        <f t="shared" si="4"/>
        <v>7143.64</v>
      </c>
      <c r="S12" s="2">
        <f t="shared" si="13"/>
        <v>8.7380899243919057</v>
      </c>
      <c r="T12" s="2">
        <f t="shared" si="14"/>
        <v>0.22641074162427693</v>
      </c>
      <c r="U12" s="2">
        <f t="shared" si="5"/>
        <v>42.626599999999996</v>
      </c>
      <c r="V12" s="2">
        <f t="shared" si="15"/>
        <v>79.893113207547174</v>
      </c>
      <c r="W12" s="2"/>
      <c r="AQ12" s="2"/>
      <c r="AR12" s="2"/>
      <c r="AS12" s="2"/>
      <c r="AT12" s="2"/>
    </row>
    <row r="13" spans="1:46" ht="16">
      <c r="A13" s="10">
        <v>1800</v>
      </c>
      <c r="B13" s="10">
        <v>19.5</v>
      </c>
      <c r="C13" s="10">
        <v>290</v>
      </c>
      <c r="D13" s="3">
        <f t="shared" si="6"/>
        <v>7914.792820512821</v>
      </c>
      <c r="E13" s="26">
        <f t="shared" si="7"/>
        <v>80.116367816091966</v>
      </c>
      <c r="F13" s="2">
        <f t="shared" si="0"/>
        <v>6.2068965517241379</v>
      </c>
      <c r="G13" s="27" t="s">
        <v>100</v>
      </c>
      <c r="H13" s="10">
        <f t="shared" si="1"/>
        <v>14.871794871794872</v>
      </c>
      <c r="I13" s="26">
        <f t="shared" si="8"/>
        <v>232.3374666666667</v>
      </c>
      <c r="J13" s="2"/>
      <c r="K13" s="26">
        <f t="shared" si="2"/>
        <v>228.51359430723352</v>
      </c>
      <c r="L13" s="11">
        <f t="shared" si="9"/>
        <v>293.59740725449058</v>
      </c>
      <c r="M13" s="2">
        <v>100</v>
      </c>
      <c r="N13" s="2">
        <f>B13/O13*100</f>
        <v>100</v>
      </c>
      <c r="O13" s="2">
        <f>C13/Q13</f>
        <v>19.5</v>
      </c>
      <c r="P13" s="2">
        <f t="shared" si="11"/>
        <v>2.1059999999999999</v>
      </c>
      <c r="Q13" s="2">
        <f>H13*M13/100</f>
        <v>14.871794871794872</v>
      </c>
      <c r="R13" s="26">
        <f t="shared" si="4"/>
        <v>7914.792820512821</v>
      </c>
      <c r="S13" s="2">
        <f t="shared" si="13"/>
        <v>7.7473514101040371</v>
      </c>
      <c r="T13" s="2">
        <f t="shared" si="14"/>
        <v>0.28031806105862855</v>
      </c>
      <c r="U13" s="2">
        <f t="shared" si="5"/>
        <v>57.662533333333336</v>
      </c>
      <c r="V13" s="2">
        <f t="shared" si="15"/>
        <v>80.116367816091966</v>
      </c>
      <c r="X13" s="29"/>
      <c r="Y13" s="28" t="s">
        <v>62</v>
      </c>
      <c r="Z13" s="28" t="s">
        <v>27</v>
      </c>
      <c r="AA13" s="28" t="s">
        <v>5</v>
      </c>
      <c r="AB13" s="28" t="s">
        <v>194</v>
      </c>
      <c r="AC13" s="28"/>
      <c r="AD13" s="28"/>
    </row>
    <row r="14" spans="1:46" ht="15">
      <c r="A14" s="27"/>
      <c r="B14" s="27"/>
      <c r="C14" s="27"/>
      <c r="D14" s="27"/>
      <c r="E14" s="2"/>
      <c r="F14" s="2"/>
      <c r="G14" s="2"/>
      <c r="H14" s="2"/>
      <c r="J14" s="2"/>
      <c r="K14" s="2"/>
      <c r="L14" s="27"/>
      <c r="X14" s="29"/>
      <c r="Y14" s="28" t="s">
        <v>60</v>
      </c>
      <c r="Z14" s="12" t="s">
        <v>57</v>
      </c>
      <c r="AA14" s="28" t="s">
        <v>85</v>
      </c>
      <c r="AB14" s="28" t="s">
        <v>64</v>
      </c>
      <c r="AC14" s="28"/>
      <c r="AD14" s="28"/>
    </row>
    <row r="15" spans="1:46" ht="15">
      <c r="A15" s="27"/>
      <c r="B15" s="27"/>
      <c r="C15" s="27"/>
      <c r="D15" s="27"/>
      <c r="E15" s="2"/>
      <c r="F15" s="2"/>
      <c r="G15" s="2"/>
      <c r="H15" s="2"/>
      <c r="J15" s="2"/>
      <c r="K15" s="2"/>
      <c r="L15" s="27"/>
      <c r="X15" s="29"/>
      <c r="Y15" s="28" t="s">
        <v>61</v>
      </c>
      <c r="Z15" s="28" t="s">
        <v>24</v>
      </c>
      <c r="AA15" s="28" t="s">
        <v>85</v>
      </c>
      <c r="AB15" s="28" t="s">
        <v>65</v>
      </c>
      <c r="AC15" s="28"/>
      <c r="AD15" s="28"/>
    </row>
    <row r="16" spans="1:46" ht="16">
      <c r="A16" s="27"/>
      <c r="B16" s="27"/>
      <c r="C16" s="27"/>
      <c r="D16" s="27"/>
      <c r="E16" s="2"/>
      <c r="F16" s="2"/>
      <c r="G16" s="2"/>
      <c r="H16" s="2"/>
      <c r="J16" s="2"/>
      <c r="K16" s="2"/>
      <c r="L16" s="27"/>
      <c r="X16" s="29"/>
      <c r="Y16" s="28" t="s">
        <v>92</v>
      </c>
      <c r="Z16" s="28" t="s">
        <v>195</v>
      </c>
      <c r="AA16" s="28" t="s">
        <v>109</v>
      </c>
      <c r="AB16" s="28" t="s">
        <v>72</v>
      </c>
      <c r="AC16" s="28"/>
      <c r="AD16" s="28"/>
    </row>
    <row r="17" spans="1:30" ht="16">
      <c r="A17" s="27"/>
      <c r="B17" s="27"/>
      <c r="C17" s="27"/>
      <c r="D17" s="27"/>
      <c r="E17" s="2"/>
      <c r="F17" s="2"/>
      <c r="G17" s="2"/>
      <c r="H17" s="2"/>
      <c r="J17" s="2"/>
      <c r="K17" s="2"/>
      <c r="L17" s="27"/>
      <c r="X17" s="29"/>
      <c r="Y17" s="28" t="s">
        <v>93</v>
      </c>
      <c r="Z17" s="28" t="s">
        <v>94</v>
      </c>
      <c r="AA17" s="28" t="s">
        <v>109</v>
      </c>
      <c r="AB17" s="28" t="s">
        <v>95</v>
      </c>
      <c r="AC17" s="28"/>
      <c r="AD17" s="28"/>
    </row>
    <row r="18" spans="1:30" ht="15">
      <c r="A18" s="27"/>
      <c r="B18" s="27"/>
      <c r="C18" s="10" t="s">
        <v>135</v>
      </c>
      <c r="D18" s="10"/>
      <c r="E18" s="27"/>
      <c r="F18" s="27" t="s">
        <v>136</v>
      </c>
      <c r="G18" s="27">
        <v>4970</v>
      </c>
      <c r="H18" s="27"/>
      <c r="J18" s="2"/>
      <c r="L18" s="27"/>
      <c r="X18" s="29"/>
      <c r="Y18" s="28" t="s">
        <v>28</v>
      </c>
      <c r="Z18" s="28" t="s">
        <v>29</v>
      </c>
      <c r="AA18" s="28" t="s">
        <v>84</v>
      </c>
      <c r="AB18" s="28"/>
      <c r="AC18" s="28"/>
      <c r="AD18" s="28"/>
    </row>
    <row r="19" spans="1:30" ht="15">
      <c r="A19" s="27"/>
      <c r="B19" s="27"/>
      <c r="C19" s="27"/>
      <c r="D19" s="27"/>
      <c r="E19" s="27"/>
      <c r="F19" s="27"/>
      <c r="G19" s="27" t="s">
        <v>137</v>
      </c>
      <c r="H19" s="27"/>
      <c r="J19" s="2"/>
      <c r="L19" s="27"/>
      <c r="X19" s="29"/>
      <c r="Y19" s="28" t="s">
        <v>30</v>
      </c>
      <c r="Z19" s="28" t="s">
        <v>31</v>
      </c>
      <c r="AA19" s="28" t="s">
        <v>84</v>
      </c>
      <c r="AB19" s="28"/>
      <c r="AC19" s="28"/>
      <c r="AD19" s="28"/>
    </row>
    <row r="20" spans="1:30" ht="15">
      <c r="A20" s="27"/>
      <c r="B20" s="27"/>
      <c r="C20" s="27"/>
      <c r="D20" s="27"/>
      <c r="E20" s="27"/>
      <c r="F20" s="27"/>
      <c r="G20" s="27"/>
      <c r="H20" s="27"/>
      <c r="J20" s="2"/>
      <c r="L20" s="27"/>
      <c r="M20" s="33" t="s">
        <v>48</v>
      </c>
      <c r="N20" s="34"/>
      <c r="U20" s="2" t="s">
        <v>106</v>
      </c>
      <c r="V20" s="34"/>
      <c r="W20" s="34"/>
      <c r="X20" s="29"/>
      <c r="Y20" s="28" t="s">
        <v>59</v>
      </c>
      <c r="Z20" s="28" t="s">
        <v>193</v>
      </c>
      <c r="AA20" s="28" t="s">
        <v>84</v>
      </c>
      <c r="AB20" s="28" t="s">
        <v>96</v>
      </c>
      <c r="AC20" s="28"/>
      <c r="AD20" s="28"/>
    </row>
    <row r="21" spans="1:30" ht="15">
      <c r="A21" s="10" t="s">
        <v>63</v>
      </c>
      <c r="B21" s="10" t="s">
        <v>121</v>
      </c>
      <c r="C21" s="10" t="s">
        <v>98</v>
      </c>
      <c r="D21" s="3" t="s">
        <v>138</v>
      </c>
      <c r="E21" s="26" t="s">
        <v>119</v>
      </c>
      <c r="F21" s="27" t="s">
        <v>99</v>
      </c>
      <c r="G21" s="27"/>
      <c r="H21" s="10" t="s">
        <v>127</v>
      </c>
      <c r="I21" s="26" t="s">
        <v>181</v>
      </c>
      <c r="J21" s="2"/>
      <c r="K21" s="26" t="s">
        <v>111</v>
      </c>
      <c r="L21" s="11" t="s">
        <v>110</v>
      </c>
      <c r="M21" s="2" t="s">
        <v>22</v>
      </c>
      <c r="O21" s="2" t="s">
        <v>4</v>
      </c>
      <c r="P21" s="29" t="s">
        <v>21</v>
      </c>
      <c r="Q21" s="29" t="s">
        <v>68</v>
      </c>
      <c r="R21" s="26" t="s">
        <v>19</v>
      </c>
      <c r="S21" s="2" t="s">
        <v>23</v>
      </c>
      <c r="T21" s="2" t="s">
        <v>104</v>
      </c>
      <c r="U21" s="2" t="s">
        <v>105</v>
      </c>
      <c r="V21" s="2" t="s">
        <v>107</v>
      </c>
      <c r="X21" s="29"/>
      <c r="Y21" s="28" t="s">
        <v>71</v>
      </c>
      <c r="Z21" s="28" t="s">
        <v>1</v>
      </c>
      <c r="AA21" s="28" t="s">
        <v>74</v>
      </c>
      <c r="AB21" s="28"/>
      <c r="AC21" s="28" t="s">
        <v>58</v>
      </c>
      <c r="AD21" s="28"/>
    </row>
    <row r="22" spans="1:30" ht="16">
      <c r="A22" s="10">
        <v>400</v>
      </c>
      <c r="B22" s="10">
        <v>2.5</v>
      </c>
      <c r="C22" s="10">
        <v>37.5</v>
      </c>
      <c r="D22" s="3">
        <f>R22</f>
        <v>2757.45</v>
      </c>
      <c r="E22" s="26">
        <f>I22/C22*100</f>
        <v>65.706670966320004</v>
      </c>
      <c r="F22" s="3">
        <f t="shared" ref="F22:F27" si="18">A22/C22</f>
        <v>10.666666666666666</v>
      </c>
      <c r="G22" s="27" t="s">
        <v>100</v>
      </c>
      <c r="H22" s="10">
        <f t="shared" ref="H22:H27" si="19">C22/B22</f>
        <v>15</v>
      </c>
      <c r="I22" s="26">
        <f>C22*V22/100</f>
        <v>24.64000161237</v>
      </c>
      <c r="J22" s="2"/>
      <c r="K22" s="26">
        <f t="shared" ref="K22:K27" si="20">POWER(D22/$G$18,3)*100</f>
        <v>17.078659206813597</v>
      </c>
      <c r="L22" s="11">
        <f>1.30652287/(13*0.0254)*POWER(A22*0.00981,3/2)</f>
        <v>30.756254460509432</v>
      </c>
      <c r="M22" s="2">
        <v>31.45</v>
      </c>
      <c r="N22" s="2">
        <f t="shared" ref="N22:N24" si="21">B22/O22*100</f>
        <v>31.419468759622209</v>
      </c>
      <c r="O22" s="2">
        <f>$O$27*M22/100</f>
        <v>7.9568500000000002</v>
      </c>
      <c r="P22" s="2">
        <f>$L$3*B22*M22/100</f>
        <v>8.4915000000000004E-2</v>
      </c>
      <c r="Q22" s="2">
        <f>H22*M22/100</f>
        <v>4.7175000000000002</v>
      </c>
      <c r="R22" s="26">
        <f t="shared" ref="R22:R27" si="22">$L$2*(Q22-(B22*$L$3))</f>
        <v>2757.45</v>
      </c>
      <c r="S22" s="2">
        <f>A22/(C22*E22/100)</f>
        <v>16.233765171475813</v>
      </c>
      <c r="T22" s="2">
        <f>I22/(2*PI()*D22/60)</f>
        <v>8.5330534828938862E-2</v>
      </c>
      <c r="U22" s="2">
        <f>$L$3*O22*O22+($AA$67*(Q22-P22))</f>
        <v>12.85999838763</v>
      </c>
      <c r="V22" s="2">
        <f>(C22-U22)/C22*100</f>
        <v>65.706670966320004</v>
      </c>
      <c r="X22" s="29"/>
      <c r="Y22" s="28" t="s">
        <v>0</v>
      </c>
      <c r="Z22" s="28" t="s">
        <v>66</v>
      </c>
      <c r="AA22" s="28" t="s">
        <v>74</v>
      </c>
      <c r="AB22" s="51" t="s">
        <v>157</v>
      </c>
      <c r="AC22" s="28"/>
      <c r="AD22" s="28"/>
    </row>
    <row r="23" spans="1:30">
      <c r="A23" s="10">
        <v>550</v>
      </c>
      <c r="B23" s="10">
        <v>4.2</v>
      </c>
      <c r="C23" s="10">
        <v>62.6</v>
      </c>
      <c r="D23" s="3">
        <f t="shared" ref="D23:D27" si="23">R23</f>
        <v>3483.5320000000006</v>
      </c>
      <c r="E23" s="26">
        <f t="shared" ref="E23:E27" si="24">I23/C23*100</f>
        <v>69.445027070499663</v>
      </c>
      <c r="F23" s="3">
        <f t="shared" si="18"/>
        <v>8.7859424920127793</v>
      </c>
      <c r="G23" s="27" t="s">
        <v>100</v>
      </c>
      <c r="H23" s="10">
        <f t="shared" si="19"/>
        <v>14.904761904761905</v>
      </c>
      <c r="I23" s="26">
        <f t="shared" ref="I23:I27" si="25">C23*V23/100</f>
        <v>43.472586946132793</v>
      </c>
      <c r="J23" s="2"/>
      <c r="K23" s="26">
        <f t="shared" si="20"/>
        <v>34.434219763163895</v>
      </c>
      <c r="L23" s="11">
        <f t="shared" ref="L23:L27" si="26">1.30652287/(13*0.0254)*POWER(A23*0.00981,3/2)</f>
        <v>49.589244593182613</v>
      </c>
      <c r="M23" s="2">
        <v>40.74</v>
      </c>
      <c r="N23" s="2">
        <f t="shared" si="21"/>
        <v>40.748135772788402</v>
      </c>
      <c r="O23" s="2">
        <f t="shared" ref="O23:O25" si="27">$O$27*M23/100</f>
        <v>10.307219999999999</v>
      </c>
      <c r="P23" s="2">
        <f t="shared" ref="P23:P27" si="28">$L$3*B23*M23/100</f>
        <v>0.18479663999999998</v>
      </c>
      <c r="Q23" s="2">
        <f t="shared" ref="Q23:Q24" si="29">H23*M23/100</f>
        <v>6.0722000000000005</v>
      </c>
      <c r="R23" s="26">
        <f t="shared" si="22"/>
        <v>3483.5320000000006</v>
      </c>
      <c r="S23" s="2">
        <f t="shared" ref="S23:S27" si="30">A23/(C23*E23/100)</f>
        <v>12.651651043484236</v>
      </c>
      <c r="T23" s="2">
        <f t="shared" ref="T23:T27" si="31">I23/(2*PI()*D23/60)</f>
        <v>0.11917003377266353</v>
      </c>
      <c r="U23" s="2">
        <f t="shared" ref="U23:U27" si="32">$L$3*O23*O23+($AA$67*(Q23-P23))</f>
        <v>19.127413053867201</v>
      </c>
      <c r="V23" s="2">
        <f t="shared" ref="V23:V27" si="33">(C23-U23)/C23*100</f>
        <v>69.445027070499677</v>
      </c>
      <c r="X23" s="29"/>
      <c r="Y23" s="28" t="s">
        <v>39</v>
      </c>
      <c r="Z23" s="28" t="s">
        <v>70</v>
      </c>
      <c r="AA23" s="28" t="s">
        <v>74</v>
      </c>
      <c r="AB23" s="28"/>
      <c r="AC23" s="28"/>
      <c r="AD23" s="28"/>
    </row>
    <row r="24" spans="1:30" ht="15">
      <c r="A24" s="10">
        <v>850</v>
      </c>
      <c r="B24" s="10">
        <v>6</v>
      </c>
      <c r="C24" s="10">
        <v>87</v>
      </c>
      <c r="D24" s="3">
        <f t="shared" si="23"/>
        <v>3976.3700000000003</v>
      </c>
      <c r="E24" s="26">
        <f t="shared" si="24"/>
        <v>71.074565790022987</v>
      </c>
      <c r="F24" s="3">
        <f t="shared" si="18"/>
        <v>9.7701149425287355</v>
      </c>
      <c r="G24" s="27" t="s">
        <v>100</v>
      </c>
      <c r="H24" s="10">
        <f t="shared" si="19"/>
        <v>14.5</v>
      </c>
      <c r="I24" s="26">
        <f t="shared" si="25"/>
        <v>61.834872237319999</v>
      </c>
      <c r="J24" s="2"/>
      <c r="K24" s="26">
        <f t="shared" si="20"/>
        <v>51.214295092770691</v>
      </c>
      <c r="L24" s="11">
        <f t="shared" si="26"/>
        <v>95.273440119452516</v>
      </c>
      <c r="M24" s="2">
        <v>48.7</v>
      </c>
      <c r="N24" s="2">
        <f t="shared" si="21"/>
        <v>48.696950759266613</v>
      </c>
      <c r="O24" s="2">
        <f t="shared" si="27"/>
        <v>12.321100000000001</v>
      </c>
      <c r="P24" s="2">
        <f t="shared" si="28"/>
        <v>0.31557600000000002</v>
      </c>
      <c r="Q24" s="2">
        <f t="shared" si="29"/>
        <v>7.0615000000000006</v>
      </c>
      <c r="R24" s="26">
        <f t="shared" si="22"/>
        <v>3976.3700000000003</v>
      </c>
      <c r="S24" s="2">
        <f t="shared" si="30"/>
        <v>13.746288611024065</v>
      </c>
      <c r="T24" s="2">
        <f t="shared" si="31"/>
        <v>0.14849713037808779</v>
      </c>
      <c r="U24" s="2">
        <f t="shared" si="32"/>
        <v>25.165127762680001</v>
      </c>
      <c r="V24" s="2">
        <f t="shared" si="33"/>
        <v>71.074565790022987</v>
      </c>
      <c r="X24" s="29"/>
      <c r="Y24" s="28" t="s">
        <v>77</v>
      </c>
      <c r="Z24" s="28" t="s">
        <v>78</v>
      </c>
      <c r="AA24" s="28" t="s">
        <v>83</v>
      </c>
      <c r="AB24" s="28" t="s">
        <v>196</v>
      </c>
      <c r="AC24" s="28"/>
      <c r="AD24" s="28"/>
    </row>
    <row r="25" spans="1:30" ht="15">
      <c r="A25" s="10">
        <v>1000</v>
      </c>
      <c r="B25" s="10">
        <v>9</v>
      </c>
      <c r="C25" s="10">
        <v>130</v>
      </c>
      <c r="D25" s="3">
        <f t="shared" si="23"/>
        <v>4739.3488888888896</v>
      </c>
      <c r="E25" s="26">
        <f t="shared" si="24"/>
        <v>73.042762877296568</v>
      </c>
      <c r="F25" s="3">
        <f t="shared" si="18"/>
        <v>7.6923076923076925</v>
      </c>
      <c r="G25" s="27" t="s">
        <v>100</v>
      </c>
      <c r="H25" s="10">
        <f t="shared" si="19"/>
        <v>14.444444444444445</v>
      </c>
      <c r="I25" s="26">
        <f t="shared" si="25"/>
        <v>94.955591740485545</v>
      </c>
      <c r="J25" s="2"/>
      <c r="K25" s="26">
        <f t="shared" si="20"/>
        <v>86.713531895787582</v>
      </c>
      <c r="L25" s="11">
        <f t="shared" si="26"/>
        <v>121.57477048865381</v>
      </c>
      <c r="M25" s="2">
        <v>59.65</v>
      </c>
      <c r="N25" s="2">
        <f>B25/O25*100</f>
        <v>59.636416646511769</v>
      </c>
      <c r="O25" s="2">
        <f t="shared" si="27"/>
        <v>15.09145</v>
      </c>
      <c r="P25" s="2">
        <f t="shared" si="28"/>
        <v>0.57979799999999992</v>
      </c>
      <c r="Q25" s="2">
        <f>H25*M25/100</f>
        <v>8.6161111111111115</v>
      </c>
      <c r="R25" s="26">
        <f t="shared" si="22"/>
        <v>4739.3488888888896</v>
      </c>
      <c r="S25" s="2">
        <f t="shared" si="30"/>
        <v>10.531238673473897</v>
      </c>
      <c r="T25" s="2">
        <f t="shared" si="31"/>
        <v>0.19132567136145939</v>
      </c>
      <c r="U25" s="2">
        <f t="shared" si="32"/>
        <v>35.044408259514448</v>
      </c>
      <c r="V25" s="2">
        <f t="shared" si="33"/>
        <v>73.042762877296568</v>
      </c>
      <c r="X25" s="29"/>
      <c r="Y25" s="28" t="s">
        <v>43</v>
      </c>
      <c r="Z25" s="28" t="s">
        <v>44</v>
      </c>
      <c r="AA25" s="28" t="s">
        <v>139</v>
      </c>
      <c r="AB25" s="28"/>
      <c r="AC25" s="28"/>
      <c r="AD25" s="28"/>
    </row>
    <row r="26" spans="1:30" s="38" customFormat="1">
      <c r="A26" s="10">
        <v>1700</v>
      </c>
      <c r="B26" s="10">
        <v>22.2</v>
      </c>
      <c r="C26" s="10">
        <v>283</v>
      </c>
      <c r="D26" s="3">
        <f t="shared" ref="D26" si="34">R26</f>
        <v>6417.0916036036033</v>
      </c>
      <c r="E26" s="26">
        <f t="shared" ref="E26" si="35">I26/C26*100</f>
        <v>76.437486900327883</v>
      </c>
      <c r="F26" s="3">
        <f t="shared" si="18"/>
        <v>6.0070671378091873</v>
      </c>
      <c r="G26" s="38" t="s">
        <v>100</v>
      </c>
      <c r="H26" s="10">
        <f t="shared" si="19"/>
        <v>12.747747747747749</v>
      </c>
      <c r="I26" s="26">
        <f t="shared" si="25"/>
        <v>216.31808792792791</v>
      </c>
      <c r="J26" s="2"/>
      <c r="K26" s="26">
        <f t="shared" si="20"/>
        <v>215.25118469367817</v>
      </c>
      <c r="L26" s="11">
        <f t="shared" si="26"/>
        <v>269.47398230174122</v>
      </c>
      <c r="M26" s="2">
        <v>100</v>
      </c>
      <c r="N26" s="2">
        <f>B26/O26*100</f>
        <v>100</v>
      </c>
      <c r="O26" s="2">
        <f>C26/Q26</f>
        <v>22.2</v>
      </c>
      <c r="P26" s="2">
        <f t="shared" si="28"/>
        <v>2.3975999999999997</v>
      </c>
      <c r="Q26" s="2">
        <f>H26*M26/100</f>
        <v>12.747747747747749</v>
      </c>
      <c r="R26" s="26">
        <f t="shared" si="22"/>
        <v>6417.0916036036033</v>
      </c>
      <c r="S26" s="2">
        <f t="shared" ref="S26" si="36">A26/(C26*E26/100)</f>
        <v>7.8587972752717743</v>
      </c>
      <c r="T26" s="2">
        <f t="shared" ref="T26" si="37">I26/(2*PI()*D26/60)</f>
        <v>0.3219037074794141</v>
      </c>
      <c r="U26" s="2">
        <f t="shared" si="32"/>
        <v>66.681912072072066</v>
      </c>
      <c r="V26" s="2">
        <f t="shared" si="33"/>
        <v>76.437486900327883</v>
      </c>
      <c r="W26" s="2"/>
    </row>
    <row r="27" spans="1:30" ht="15">
      <c r="A27" s="10">
        <v>1900</v>
      </c>
      <c r="B27" s="10">
        <v>25.3</v>
      </c>
      <c r="C27" s="10">
        <v>350</v>
      </c>
      <c r="D27" s="3">
        <f t="shared" si="23"/>
        <v>6882.9870988142293</v>
      </c>
      <c r="E27" s="26">
        <f t="shared" si="24"/>
        <v>76.125202936194242</v>
      </c>
      <c r="F27" s="2">
        <f t="shared" si="18"/>
        <v>5.4285714285714288</v>
      </c>
      <c r="G27" s="27" t="s">
        <v>100</v>
      </c>
      <c r="H27" s="10">
        <f t="shared" si="19"/>
        <v>13.83399209486166</v>
      </c>
      <c r="I27" s="26">
        <f t="shared" si="25"/>
        <v>266.43821027667985</v>
      </c>
      <c r="J27" s="2"/>
      <c r="K27" s="26">
        <f t="shared" si="20"/>
        <v>265.62056759565797</v>
      </c>
      <c r="L27" s="11">
        <f t="shared" si="26"/>
        <v>318.40058705355887</v>
      </c>
      <c r="M27" s="2">
        <v>100</v>
      </c>
      <c r="N27" s="2">
        <f>B27/O27*100</f>
        <v>100</v>
      </c>
      <c r="O27" s="2">
        <f>C27/Q27</f>
        <v>25.3</v>
      </c>
      <c r="P27" s="2">
        <f t="shared" si="28"/>
        <v>2.7324000000000002</v>
      </c>
      <c r="Q27" s="2">
        <f>H27*M27/100</f>
        <v>13.83399209486166</v>
      </c>
      <c r="R27" s="26">
        <f t="shared" si="22"/>
        <v>6882.9870988142293</v>
      </c>
      <c r="S27" s="2">
        <f t="shared" si="30"/>
        <v>7.1311093030799366</v>
      </c>
      <c r="T27" s="2">
        <f t="shared" si="31"/>
        <v>0.36965019040698277</v>
      </c>
      <c r="U27" s="2">
        <f t="shared" si="32"/>
        <v>83.56178972332016</v>
      </c>
      <c r="V27" s="2">
        <f t="shared" si="33"/>
        <v>76.125202936194242</v>
      </c>
      <c r="X27" s="29"/>
      <c r="Y27" s="28" t="s">
        <v>80</v>
      </c>
      <c r="Z27" s="28" t="s">
        <v>81</v>
      </c>
      <c r="AA27" s="28" t="s">
        <v>82</v>
      </c>
      <c r="AB27" s="28" t="s">
        <v>182</v>
      </c>
      <c r="AC27" s="28"/>
      <c r="AD27" s="28"/>
    </row>
    <row r="28" spans="1:30" ht="15">
      <c r="A28" s="27"/>
      <c r="B28" s="27"/>
      <c r="C28" s="27"/>
      <c r="D28" s="27"/>
      <c r="E28" s="2"/>
      <c r="F28" s="2"/>
      <c r="G28" s="2"/>
      <c r="H28" s="2"/>
      <c r="J28" s="2"/>
      <c r="K28" s="2"/>
      <c r="L28" s="27"/>
      <c r="X28" s="29"/>
      <c r="Y28" s="28" t="s">
        <v>87</v>
      </c>
      <c r="Z28" s="28" t="s">
        <v>88</v>
      </c>
      <c r="AA28" s="28" t="s">
        <v>89</v>
      </c>
      <c r="AB28" s="28" t="s">
        <v>42</v>
      </c>
      <c r="AC28" s="28"/>
      <c r="AD28" s="28"/>
    </row>
    <row r="29" spans="1:30">
      <c r="A29" s="27"/>
      <c r="B29" s="27"/>
      <c r="C29" s="27"/>
      <c r="D29" s="27"/>
      <c r="E29" s="2"/>
      <c r="F29" s="2"/>
      <c r="G29" s="2"/>
      <c r="H29" s="2"/>
      <c r="J29" s="2"/>
      <c r="K29" s="2"/>
      <c r="L29" s="27"/>
      <c r="X29" s="29"/>
      <c r="Y29" s="28" t="s">
        <v>97</v>
      </c>
      <c r="Z29" s="28" t="s">
        <v>67</v>
      </c>
      <c r="AA29" s="28" t="s">
        <v>91</v>
      </c>
      <c r="AB29" s="28">
        <f>17.2/1000000000</f>
        <v>1.7199999999999999E-8</v>
      </c>
      <c r="AC29" s="28"/>
      <c r="AD29" s="28"/>
    </row>
    <row r="30" spans="1:30" ht="15">
      <c r="A30" s="27"/>
      <c r="B30" s="27"/>
      <c r="C30" s="29"/>
      <c r="D30" s="29"/>
      <c r="E30" s="2"/>
      <c r="F30" s="2"/>
      <c r="G30" s="2"/>
      <c r="H30" s="2"/>
      <c r="J30" s="2"/>
      <c r="K30" s="2"/>
      <c r="L30" s="27"/>
      <c r="X30" s="29"/>
      <c r="Y30" s="28" t="s">
        <v>73</v>
      </c>
      <c r="Z30" s="28" t="s">
        <v>53</v>
      </c>
      <c r="AA30" s="28" t="s">
        <v>54</v>
      </c>
      <c r="AB30" s="28"/>
      <c r="AC30" s="28" t="s">
        <v>58</v>
      </c>
      <c r="AD30" s="28"/>
    </row>
    <row r="31" spans="1:30">
      <c r="A31" s="27"/>
      <c r="B31" s="29"/>
      <c r="C31" s="10" t="s">
        <v>134</v>
      </c>
      <c r="D31" s="10"/>
      <c r="E31" s="2"/>
      <c r="F31" s="27" t="s">
        <v>136</v>
      </c>
      <c r="G31" s="27">
        <v>5416</v>
      </c>
      <c r="H31" s="27"/>
      <c r="J31" s="2"/>
      <c r="L31" s="27"/>
      <c r="X31" s="29"/>
      <c r="Y31" s="28" t="s">
        <v>45</v>
      </c>
      <c r="Z31" s="28" t="s">
        <v>68</v>
      </c>
      <c r="AA31" s="28" t="s">
        <v>54</v>
      </c>
      <c r="AB31" s="28"/>
      <c r="AC31" s="28"/>
      <c r="AD31" s="28"/>
    </row>
    <row r="32" spans="1:30">
      <c r="A32" s="27"/>
      <c r="B32" s="27"/>
      <c r="C32" s="27"/>
      <c r="D32" s="27"/>
      <c r="E32" s="27"/>
      <c r="F32" s="27"/>
      <c r="G32" s="27"/>
      <c r="H32" s="27"/>
      <c r="J32" s="2"/>
      <c r="L32" s="27"/>
      <c r="X32" s="29"/>
    </row>
    <row r="33" spans="1:36">
      <c r="A33" s="27"/>
      <c r="B33" s="27"/>
      <c r="C33" s="27"/>
      <c r="D33" s="27"/>
      <c r="E33" s="27"/>
      <c r="F33" s="27"/>
      <c r="G33" s="27"/>
      <c r="H33" s="27"/>
      <c r="J33" s="2"/>
      <c r="L33" s="27"/>
      <c r="M33" s="33" t="s">
        <v>48</v>
      </c>
      <c r="N33" s="34"/>
      <c r="U33" s="2" t="s">
        <v>106</v>
      </c>
      <c r="V33" s="34"/>
      <c r="W33" s="34"/>
      <c r="X33" s="29"/>
    </row>
    <row r="34" spans="1:36" ht="15">
      <c r="A34" s="10" t="s">
        <v>129</v>
      </c>
      <c r="B34" s="10" t="s">
        <v>120</v>
      </c>
      <c r="C34" s="10" t="s">
        <v>130</v>
      </c>
      <c r="D34" s="3" t="s">
        <v>131</v>
      </c>
      <c r="E34" s="26" t="s">
        <v>118</v>
      </c>
      <c r="F34" s="27" t="s">
        <v>132</v>
      </c>
      <c r="G34" s="27"/>
      <c r="H34" s="10" t="s">
        <v>126</v>
      </c>
      <c r="I34" s="26" t="s">
        <v>181</v>
      </c>
      <c r="J34" s="2"/>
      <c r="K34" s="26" t="s">
        <v>111</v>
      </c>
      <c r="L34" s="11" t="s">
        <v>110</v>
      </c>
      <c r="M34" s="2" t="s">
        <v>22</v>
      </c>
      <c r="O34" s="2" t="s">
        <v>4</v>
      </c>
      <c r="P34" s="29" t="s">
        <v>21</v>
      </c>
      <c r="Q34" s="29" t="s">
        <v>68</v>
      </c>
      <c r="R34" s="26" t="s">
        <v>19</v>
      </c>
      <c r="S34" s="2" t="s">
        <v>23</v>
      </c>
      <c r="T34" s="2" t="s">
        <v>104</v>
      </c>
      <c r="U34" s="2" t="s">
        <v>105</v>
      </c>
      <c r="V34" s="2" t="s">
        <v>107</v>
      </c>
      <c r="X34" s="29"/>
    </row>
    <row r="35" spans="1:36" ht="15">
      <c r="A35" s="10">
        <v>400</v>
      </c>
      <c r="B35" s="10">
        <v>2.6</v>
      </c>
      <c r="C35" s="10">
        <v>39.6</v>
      </c>
      <c r="D35" s="3">
        <f>R35</f>
        <v>3036.5501538461535</v>
      </c>
      <c r="E35" s="26">
        <f>I35/C35*100</f>
        <v>67.352736363636382</v>
      </c>
      <c r="F35" s="2">
        <f t="shared" ref="F35:F40" si="38">A35/C35</f>
        <v>10.1010101010101</v>
      </c>
      <c r="G35" s="27" t="s">
        <v>133</v>
      </c>
      <c r="H35" s="10">
        <f t="shared" ref="H35:H39" si="39">C35/B35</f>
        <v>15.23076923076923</v>
      </c>
      <c r="I35" s="26">
        <f>C35*V35/100</f>
        <v>26.671683600000009</v>
      </c>
      <c r="J35" s="2"/>
      <c r="K35" s="26">
        <f t="shared" ref="K35:K40" si="40">POWER(D35/$G$31,3)*100</f>
        <v>17.624037526670548</v>
      </c>
      <c r="L35" s="11">
        <f>1.30652287/(14*0.0254)*POWER(A35*0.00981,3/2)</f>
        <v>28.559379141901616</v>
      </c>
      <c r="M35" s="2">
        <v>34</v>
      </c>
      <c r="N35" s="2">
        <f>B35/O35*100</f>
        <v>33.986928104575171</v>
      </c>
      <c r="O35" s="2">
        <f>$O$40*M35/100</f>
        <v>7.6499999999999986</v>
      </c>
      <c r="P35" s="2">
        <f>$L$3*B35*M35/100</f>
        <v>9.5472000000000001E-2</v>
      </c>
      <c r="Q35" s="2">
        <f>H35*M35/100</f>
        <v>5.178461538461538</v>
      </c>
      <c r="R35" s="26">
        <f t="shared" ref="R35:R40" si="41">$L$2*(Q35-(B35*$L$3))</f>
        <v>3036.5501538461535</v>
      </c>
      <c r="S35" s="2">
        <f>A35/(C35*E35/100)</f>
        <v>14.997178505821802</v>
      </c>
      <c r="T35" s="2">
        <f>I35/(2*PI()*D35/60)</f>
        <v>8.3876703570589697E-2</v>
      </c>
      <c r="U35" s="2">
        <f t="shared" ref="U35:U40" si="42">$L$3*O35*O35+($AA$67*(Q35-P35))</f>
        <v>12.928316399999996</v>
      </c>
      <c r="V35" s="2">
        <f>(C35-U35)/C35*100</f>
        <v>67.352736363636382</v>
      </c>
      <c r="X35" s="29"/>
      <c r="Y35" s="28"/>
      <c r="Z35" s="28"/>
      <c r="AA35" s="28"/>
      <c r="AB35" s="28"/>
      <c r="AC35" s="28" t="s">
        <v>2</v>
      </c>
      <c r="AD35" s="28" t="s">
        <v>2</v>
      </c>
      <c r="AE35" s="28" t="s">
        <v>11</v>
      </c>
      <c r="AF35" s="28"/>
      <c r="AG35" s="28" t="s">
        <v>47</v>
      </c>
      <c r="AH35" s="28" t="s">
        <v>47</v>
      </c>
      <c r="AI35" s="28" t="s">
        <v>47</v>
      </c>
      <c r="AJ35" s="28"/>
    </row>
    <row r="36" spans="1:36" ht="15">
      <c r="A36" s="10">
        <v>550</v>
      </c>
      <c r="B36" s="10">
        <v>4.0999999999999996</v>
      </c>
      <c r="C36" s="10">
        <v>62.6</v>
      </c>
      <c r="D36" s="3">
        <f t="shared" ref="D36:D40" si="43">R36</f>
        <v>3767.5918048780491</v>
      </c>
      <c r="E36" s="26">
        <f t="shared" ref="E36:E40" si="44">I36/C36*100</f>
        <v>70.928963157679405</v>
      </c>
      <c r="F36" s="2">
        <f t="shared" si="38"/>
        <v>8.7859424920127793</v>
      </c>
      <c r="G36" s="27" t="s">
        <v>133</v>
      </c>
      <c r="H36" s="10">
        <f t="shared" si="39"/>
        <v>15.26829268292683</v>
      </c>
      <c r="I36" s="26">
        <f t="shared" ref="I36:I38" si="45">C36*V36/100</f>
        <v>44.40153093670731</v>
      </c>
      <c r="J36" s="2"/>
      <c r="K36" s="26">
        <f t="shared" si="40"/>
        <v>33.663212893175853</v>
      </c>
      <c r="L36" s="11">
        <f t="shared" ref="L36:L39" si="46">1.30652287/(14*0.0254)*POWER(A36*0.00981,3/2)</f>
        <v>46.047155693669573</v>
      </c>
      <c r="M36" s="2">
        <v>42.7</v>
      </c>
      <c r="N36" s="2">
        <f t="shared" ref="N36:N39" si="47">B36/O36*100</f>
        <v>42.674993494665628</v>
      </c>
      <c r="O36" s="2">
        <f t="shared" ref="O36:O37" si="48">$O$40*M36/100</f>
        <v>9.6074999999999982</v>
      </c>
      <c r="P36" s="2">
        <f t="shared" ref="P36:P40" si="49">$L$3*B36*M36/100</f>
        <v>0.18907560000000001</v>
      </c>
      <c r="Q36" s="2">
        <f t="shared" ref="Q36:Q40" si="50">H36*M36/100</f>
        <v>6.5195609756097568</v>
      </c>
      <c r="R36" s="26">
        <f t="shared" si="41"/>
        <v>3767.5918048780491</v>
      </c>
      <c r="S36" s="2">
        <f t="shared" ref="S36:S40" si="51">A36/(C36*E36/100)</f>
        <v>12.386960278104016</v>
      </c>
      <c r="T36" s="2">
        <f t="shared" ref="T36:T39" si="52">I36/(2*PI()*D36/60)</f>
        <v>0.11253963001419291</v>
      </c>
      <c r="U36" s="2">
        <f t="shared" si="42"/>
        <v>18.198469063292681</v>
      </c>
      <c r="V36" s="2">
        <f t="shared" ref="V36:V40" si="53">(C36-U36)/C36*100</f>
        <v>70.928963157679419</v>
      </c>
      <c r="X36" s="29"/>
      <c r="Y36" s="15"/>
      <c r="Z36" s="15" t="s">
        <v>32</v>
      </c>
      <c r="AA36" s="15"/>
      <c r="AB36" s="28" t="s">
        <v>35</v>
      </c>
      <c r="AC36" s="28" t="s">
        <v>37</v>
      </c>
      <c r="AD36" s="28" t="s">
        <v>10</v>
      </c>
      <c r="AE36" s="28" t="s">
        <v>38</v>
      </c>
      <c r="AF36" s="28"/>
      <c r="AG36" s="28" t="s">
        <v>37</v>
      </c>
      <c r="AH36" s="28" t="s">
        <v>10</v>
      </c>
      <c r="AI36" s="28" t="s">
        <v>38</v>
      </c>
      <c r="AJ36" s="28"/>
    </row>
    <row r="37" spans="1:36" ht="15">
      <c r="A37" s="10">
        <v>850</v>
      </c>
      <c r="B37" s="10">
        <v>7.2</v>
      </c>
      <c r="C37" s="10">
        <v>107</v>
      </c>
      <c r="D37" s="3">
        <f t="shared" si="43"/>
        <v>4729.2635555555562</v>
      </c>
      <c r="E37" s="26">
        <f t="shared" si="44"/>
        <v>73.975663310488045</v>
      </c>
      <c r="F37" s="2">
        <f t="shared" si="38"/>
        <v>7.94392523364486</v>
      </c>
      <c r="G37" s="27" t="s">
        <v>133</v>
      </c>
      <c r="H37" s="10">
        <f t="shared" si="39"/>
        <v>14.861111111111111</v>
      </c>
      <c r="I37" s="26">
        <f t="shared" si="45"/>
        <v>79.153959742222199</v>
      </c>
      <c r="J37" s="2"/>
      <c r="K37" s="26">
        <f t="shared" si="40"/>
        <v>66.580121752113925</v>
      </c>
      <c r="L37" s="11">
        <f t="shared" si="46"/>
        <v>88.468194396634487</v>
      </c>
      <c r="M37" s="2">
        <v>56.56</v>
      </c>
      <c r="N37" s="2">
        <f t="shared" si="47"/>
        <v>56.577086280056591</v>
      </c>
      <c r="O37" s="2">
        <f t="shared" si="48"/>
        <v>12.725999999999999</v>
      </c>
      <c r="P37" s="2">
        <f t="shared" si="49"/>
        <v>0.43981056000000002</v>
      </c>
      <c r="Q37" s="2">
        <f t="shared" si="50"/>
        <v>8.4054444444444449</v>
      </c>
      <c r="R37" s="26">
        <f t="shared" si="41"/>
        <v>4729.2635555555562</v>
      </c>
      <c r="S37" s="2">
        <f t="shared" si="51"/>
        <v>10.738565736548921</v>
      </c>
      <c r="T37" s="2">
        <f t="shared" si="52"/>
        <v>0.15982713346740093</v>
      </c>
      <c r="U37" s="2">
        <f t="shared" si="42"/>
        <v>27.84604025777778</v>
      </c>
      <c r="V37" s="2">
        <f t="shared" si="53"/>
        <v>73.975663310488045</v>
      </c>
      <c r="X37" s="29"/>
      <c r="Y37" s="4" t="s">
        <v>25</v>
      </c>
      <c r="Z37" s="18" t="str">
        <f t="shared" ref="Z37" si="54">IF(AA37=0,"non","oui")</f>
        <v>oui</v>
      </c>
      <c r="AA37" s="19">
        <v>625</v>
      </c>
      <c r="AB37" s="20">
        <f>IF(Z37="oui",AA37,AA74/(AA78-(AA67*AA76)))</f>
        <v>625</v>
      </c>
      <c r="AC37" s="28"/>
      <c r="AD37" s="28"/>
      <c r="AE37" s="28"/>
      <c r="AF37" s="28"/>
      <c r="AG37" s="28"/>
      <c r="AH37" s="28"/>
      <c r="AI37" s="28"/>
      <c r="AJ37" s="28"/>
    </row>
    <row r="38" spans="1:36" ht="15">
      <c r="A38" s="10">
        <v>1000</v>
      </c>
      <c r="B38" s="10">
        <v>8.6000000000000014</v>
      </c>
      <c r="C38" s="10">
        <v>130</v>
      </c>
      <c r="D38" s="3">
        <f t="shared" si="43"/>
        <v>5216.097488372091</v>
      </c>
      <c r="E38" s="26">
        <f>I38/C38*100</f>
        <v>75.169295857960677</v>
      </c>
      <c r="F38" s="2">
        <f t="shared" si="38"/>
        <v>7.6923076923076925</v>
      </c>
      <c r="G38" s="27" t="s">
        <v>133</v>
      </c>
      <c r="H38" s="10">
        <f t="shared" si="39"/>
        <v>15.116279069767439</v>
      </c>
      <c r="I38" s="26">
        <f t="shared" si="45"/>
        <v>97.720084615348867</v>
      </c>
      <c r="J38" s="2"/>
      <c r="K38" s="26">
        <f t="shared" si="40"/>
        <v>89.330781244259938</v>
      </c>
      <c r="L38" s="11">
        <f t="shared" si="46"/>
        <v>112.89085831089284</v>
      </c>
      <c r="M38" s="2">
        <v>61.8</v>
      </c>
      <c r="N38" s="2">
        <f>B38/O38*100</f>
        <v>61.848256023013327</v>
      </c>
      <c r="O38" s="2">
        <f>$O$40*M38/100</f>
        <v>13.904999999999998</v>
      </c>
      <c r="P38" s="2">
        <f t="shared" si="49"/>
        <v>0.57399840000000013</v>
      </c>
      <c r="Q38" s="2">
        <f t="shared" si="50"/>
        <v>9.3418604651162767</v>
      </c>
      <c r="R38" s="26">
        <f t="shared" si="41"/>
        <v>5216.097488372091</v>
      </c>
      <c r="S38" s="2">
        <f t="shared" si="51"/>
        <v>10.233310827925031</v>
      </c>
      <c r="T38" s="2">
        <f t="shared" si="52"/>
        <v>0.17889966060521145</v>
      </c>
      <c r="U38" s="2">
        <f t="shared" si="42"/>
        <v>32.279915384651147</v>
      </c>
      <c r="V38" s="2">
        <f>(C38-U38)/C38*100</f>
        <v>75.169295857960662</v>
      </c>
      <c r="X38" s="29"/>
      <c r="Y38" s="6" t="s">
        <v>26</v>
      </c>
      <c r="Z38" s="16" t="s">
        <v>33</v>
      </c>
      <c r="AA38" s="13"/>
      <c r="AB38" s="21"/>
      <c r="AC38" s="28"/>
      <c r="AD38" s="28"/>
      <c r="AE38" s="28"/>
      <c r="AF38" s="28"/>
      <c r="AG38" s="28"/>
      <c r="AH38" s="28"/>
      <c r="AI38" s="28"/>
      <c r="AJ38" s="28"/>
    </row>
    <row r="39" spans="1:36" s="38" customFormat="1">
      <c r="A39" s="10">
        <v>1450</v>
      </c>
      <c r="B39" s="10">
        <v>19.2</v>
      </c>
      <c r="C39" s="10">
        <v>249</v>
      </c>
      <c r="D39" s="3">
        <f t="shared" si="43"/>
        <v>6754.9930000000004</v>
      </c>
      <c r="E39" s="26">
        <f t="shared" si="44"/>
        <v>78.32256425702812</v>
      </c>
      <c r="F39" s="2">
        <f t="shared" si="38"/>
        <v>5.8232931726907626</v>
      </c>
      <c r="G39" s="38" t="s">
        <v>133</v>
      </c>
      <c r="H39" s="10">
        <f t="shared" si="39"/>
        <v>12.96875</v>
      </c>
      <c r="I39" s="26">
        <f>C39*V39/100</f>
        <v>195.02318500000001</v>
      </c>
      <c r="J39" s="2"/>
      <c r="K39" s="26">
        <f t="shared" si="40"/>
        <v>194.01653445572569</v>
      </c>
      <c r="L39" s="11">
        <f t="shared" si="46"/>
        <v>197.11096237759014</v>
      </c>
      <c r="M39" s="2">
        <v>100</v>
      </c>
      <c r="N39" s="2">
        <f t="shared" si="47"/>
        <v>100</v>
      </c>
      <c r="O39" s="2">
        <f>C39/Q39</f>
        <v>19.2</v>
      </c>
      <c r="P39" s="2">
        <f t="shared" ref="P39" si="55">$L$3*B39*M39/100</f>
        <v>2.0735999999999999</v>
      </c>
      <c r="Q39" s="2">
        <f>H39*M39/100</f>
        <v>12.96875</v>
      </c>
      <c r="R39" s="26">
        <f t="shared" si="41"/>
        <v>6754.9930000000004</v>
      </c>
      <c r="S39" s="2">
        <f t="shared" ref="S39" si="56">A39/(C39*E39/100)</f>
        <v>7.4350134318645233</v>
      </c>
      <c r="T39" s="2">
        <f t="shared" si="52"/>
        <v>0.27569743367854127</v>
      </c>
      <c r="U39" s="2">
        <f t="shared" si="42"/>
        <v>53.976815000000002</v>
      </c>
      <c r="V39" s="2">
        <f t="shared" ref="V39" si="57">(C39-U39)/C39*100</f>
        <v>78.32256425702812</v>
      </c>
      <c r="W39" s="2"/>
      <c r="Y39" s="6"/>
      <c r="Z39" s="16"/>
      <c r="AA39" s="13"/>
      <c r="AB39" s="21"/>
    </row>
    <row r="40" spans="1:36" ht="15">
      <c r="A40" s="10">
        <v>1870</v>
      </c>
      <c r="B40" s="10">
        <v>22.5</v>
      </c>
      <c r="C40" s="10">
        <v>319</v>
      </c>
      <c r="D40" s="3">
        <f t="shared" si="43"/>
        <v>7283.6222222222232</v>
      </c>
      <c r="E40" s="26">
        <f t="shared" si="44"/>
        <v>78.073005921281805</v>
      </c>
      <c r="F40" s="2">
        <f t="shared" si="38"/>
        <v>5.8620689655172411</v>
      </c>
      <c r="G40" s="27" t="s">
        <v>133</v>
      </c>
      <c r="H40" s="10">
        <f>C40/B40</f>
        <v>14.177777777777777</v>
      </c>
      <c r="I40" s="26">
        <f>C40*V40/100</f>
        <v>249.05288888888893</v>
      </c>
      <c r="J40" s="2"/>
      <c r="K40" s="26">
        <f t="shared" si="40"/>
        <v>243.22391222539861</v>
      </c>
      <c r="L40" s="11">
        <f>1.30652287/(14*0.0254)*POWER(A40*0.00981,3/2)</f>
        <v>288.68298335377841</v>
      </c>
      <c r="M40" s="2">
        <v>100</v>
      </c>
      <c r="N40" s="2">
        <f>B40/O40*100</f>
        <v>100.00000000000003</v>
      </c>
      <c r="O40" s="2">
        <f>C40/Q40</f>
        <v>22.499999999999996</v>
      </c>
      <c r="P40" s="2">
        <f t="shared" si="49"/>
        <v>2.4300000000000002</v>
      </c>
      <c r="Q40" s="2">
        <f t="shared" si="50"/>
        <v>14.177777777777779</v>
      </c>
      <c r="R40" s="26">
        <f t="shared" si="41"/>
        <v>7283.6222222222232</v>
      </c>
      <c r="S40" s="2">
        <f t="shared" si="51"/>
        <v>7.5084453279892331</v>
      </c>
      <c r="T40" s="2">
        <f>I40/(2*PI()*D40/60)</f>
        <v>0.32652433485950144</v>
      </c>
      <c r="U40" s="2">
        <f t="shared" si="42"/>
        <v>69.947111111111099</v>
      </c>
      <c r="V40" s="2">
        <f t="shared" si="53"/>
        <v>78.073005921281791</v>
      </c>
      <c r="X40" s="29"/>
      <c r="Y40" s="6" t="s">
        <v>166</v>
      </c>
      <c r="Z40" s="16" t="str">
        <f t="shared" ref="Z40" si="58">IF(AA40=0,"non","oui")</f>
        <v>non</v>
      </c>
      <c r="AA40" s="13"/>
      <c r="AB40" s="21"/>
      <c r="AC40" s="28"/>
      <c r="AD40" s="28"/>
      <c r="AE40" s="28"/>
      <c r="AF40" s="28"/>
      <c r="AG40" s="28"/>
      <c r="AH40" s="28"/>
      <c r="AI40" s="28"/>
      <c r="AJ40" s="28"/>
    </row>
    <row r="41" spans="1:36">
      <c r="A41" s="27"/>
      <c r="B41" s="27"/>
      <c r="C41" s="27"/>
      <c r="D41" s="27"/>
      <c r="E41" s="2"/>
      <c r="F41" s="2"/>
      <c r="G41" s="2"/>
      <c r="H41" s="2"/>
      <c r="J41" s="2"/>
      <c r="K41" s="2"/>
      <c r="L41" s="2"/>
      <c r="X41" s="27"/>
      <c r="Y41" s="6"/>
      <c r="Z41" s="16"/>
      <c r="AA41" s="13"/>
      <c r="AB41" s="21"/>
      <c r="AC41" s="28"/>
      <c r="AD41" s="28"/>
      <c r="AE41" s="28"/>
      <c r="AF41" s="28"/>
      <c r="AG41" s="28"/>
      <c r="AH41" s="28"/>
      <c r="AI41" s="28"/>
      <c r="AJ41" s="28"/>
    </row>
    <row r="42" spans="1:36">
      <c r="A42" s="27"/>
      <c r="B42" s="27"/>
      <c r="C42" s="27"/>
      <c r="D42" s="27"/>
      <c r="E42" s="2"/>
      <c r="F42" s="2"/>
      <c r="G42" s="2"/>
      <c r="H42" s="2"/>
      <c r="J42" s="2"/>
      <c r="K42" s="2"/>
      <c r="L42" s="27"/>
      <c r="X42" s="27"/>
      <c r="Y42" s="6"/>
      <c r="Z42" s="16"/>
      <c r="AA42" s="13"/>
      <c r="AB42" s="21"/>
      <c r="AC42" s="28"/>
      <c r="AD42" s="28"/>
      <c r="AE42" s="28"/>
      <c r="AF42" s="28"/>
      <c r="AG42" s="28"/>
      <c r="AH42" s="28"/>
      <c r="AI42" s="28"/>
      <c r="AJ42" s="28"/>
    </row>
    <row r="43" spans="1:36">
      <c r="A43" s="27"/>
      <c r="B43" s="27"/>
      <c r="C43" s="2" t="s">
        <v>6</v>
      </c>
      <c r="D43" s="27"/>
      <c r="E43" s="2"/>
      <c r="F43" s="2" t="s">
        <v>7</v>
      </c>
      <c r="G43" s="2">
        <v>4600</v>
      </c>
      <c r="H43" s="2"/>
      <c r="J43" s="2"/>
      <c r="K43" s="2"/>
      <c r="L43" s="27"/>
      <c r="X43" s="27"/>
      <c r="Y43" s="6" t="s">
        <v>117</v>
      </c>
      <c r="Z43" s="16" t="str">
        <f t="shared" ref="Z43:Z71" si="59">IF(AA43=0,"non","oui")</f>
        <v>non</v>
      </c>
      <c r="AA43" s="13"/>
      <c r="AB43" s="21"/>
      <c r="AC43" s="2">
        <f>AC64/AC63*100</f>
        <v>75.344987647365343</v>
      </c>
      <c r="AD43" s="28">
        <f>AD64/AD63*100</f>
        <v>72.309481491233839</v>
      </c>
      <c r="AE43" s="2">
        <f>AE64/AE63*100</f>
        <v>65.708983974399032</v>
      </c>
      <c r="AF43" s="28" t="s">
        <v>5</v>
      </c>
      <c r="AG43" s="2">
        <f>AG64/AG63*100</f>
        <v>81.037703324448913</v>
      </c>
      <c r="AH43" s="2">
        <f>AH64/AH63*100</f>
        <v>80.485779897544603</v>
      </c>
      <c r="AI43" s="2">
        <f>AI64/AI63*100</f>
        <v>79.151048501082727</v>
      </c>
      <c r="AJ43" s="28" t="s">
        <v>5</v>
      </c>
    </row>
    <row r="44" spans="1:36" s="35" customFormat="1">
      <c r="E44" s="2"/>
      <c r="F44" s="2"/>
      <c r="G44" s="2"/>
      <c r="H44" s="2"/>
      <c r="I44" s="2"/>
      <c r="J44" s="2"/>
      <c r="K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Y44" s="6"/>
      <c r="Z44" s="16"/>
      <c r="AA44" s="13"/>
      <c r="AB44" s="21"/>
      <c r="AC44" s="2"/>
      <c r="AE44" s="2"/>
      <c r="AG44" s="2"/>
      <c r="AH44" s="2"/>
      <c r="AI44" s="2"/>
    </row>
    <row r="45" spans="1:36" s="35" customFormat="1">
      <c r="E45" s="2"/>
      <c r="F45" s="2"/>
      <c r="G45" s="2"/>
      <c r="H45" s="2"/>
      <c r="I45" s="2"/>
      <c r="J45" s="2"/>
      <c r="K45" s="2"/>
      <c r="M45" s="33" t="s">
        <v>48</v>
      </c>
      <c r="N45" s="34"/>
      <c r="O45" s="2"/>
      <c r="P45" s="2"/>
      <c r="Q45" s="2"/>
      <c r="R45" s="2"/>
      <c r="S45" s="2"/>
      <c r="T45" s="2"/>
      <c r="U45" s="2"/>
      <c r="V45" s="2"/>
      <c r="W45" s="2"/>
      <c r="Y45" s="6"/>
      <c r="Z45" s="16"/>
      <c r="AA45" s="13"/>
      <c r="AB45" s="21"/>
      <c r="AC45" s="2"/>
      <c r="AE45" s="2"/>
      <c r="AG45" s="2"/>
      <c r="AH45" s="2"/>
      <c r="AI45" s="2"/>
    </row>
    <row r="46" spans="1:36" s="35" customFormat="1" ht="15">
      <c r="A46" s="10" t="s">
        <v>129</v>
      </c>
      <c r="B46" s="2" t="s">
        <v>120</v>
      </c>
      <c r="C46" s="10" t="s">
        <v>130</v>
      </c>
      <c r="D46" s="10" t="s">
        <v>131</v>
      </c>
      <c r="E46" s="26" t="s">
        <v>118</v>
      </c>
      <c r="F46" s="2" t="s">
        <v>132</v>
      </c>
      <c r="G46" s="2"/>
      <c r="H46" s="2" t="s">
        <v>126</v>
      </c>
      <c r="I46" s="26" t="s">
        <v>181</v>
      </c>
      <c r="J46" s="10" t="s">
        <v>108</v>
      </c>
      <c r="K46" s="26" t="s">
        <v>111</v>
      </c>
      <c r="L46" s="11" t="s">
        <v>110</v>
      </c>
      <c r="M46" s="2" t="s">
        <v>22</v>
      </c>
      <c r="N46" s="16"/>
      <c r="O46" s="10" t="s">
        <v>4</v>
      </c>
      <c r="P46" s="2" t="s">
        <v>21</v>
      </c>
      <c r="Q46" s="10" t="s">
        <v>46</v>
      </c>
      <c r="R46" s="26" t="s">
        <v>19</v>
      </c>
      <c r="S46" s="10" t="s">
        <v>23</v>
      </c>
      <c r="T46" s="10" t="s">
        <v>104</v>
      </c>
      <c r="U46" s="2" t="s">
        <v>105</v>
      </c>
      <c r="V46" s="2" t="s">
        <v>107</v>
      </c>
      <c r="W46" s="2"/>
      <c r="Y46" s="6"/>
      <c r="Z46" s="16"/>
      <c r="AA46" s="13"/>
      <c r="AB46" s="21"/>
      <c r="AC46" s="2"/>
      <c r="AE46" s="2"/>
      <c r="AG46" s="2"/>
      <c r="AH46" s="2"/>
      <c r="AI46" s="2"/>
    </row>
    <row r="47" spans="1:36" s="35" customFormat="1">
      <c r="A47" s="10">
        <v>400</v>
      </c>
      <c r="B47" s="2">
        <f t="shared" ref="B47:B49" si="60">C47/H47</f>
        <v>2.2265625</v>
      </c>
      <c r="C47" s="10">
        <v>28.5</v>
      </c>
      <c r="D47" s="10">
        <v>2603</v>
      </c>
      <c r="E47" s="26">
        <f>I47/C47*100</f>
        <v>67.289651932862014</v>
      </c>
      <c r="F47" s="2">
        <f>A47/C47</f>
        <v>14.035087719298245</v>
      </c>
      <c r="G47" s="2" t="s">
        <v>133</v>
      </c>
      <c r="H47" s="2">
        <v>12.8</v>
      </c>
      <c r="I47" s="26">
        <f>C47*V47/100</f>
        <v>19.177550800865674</v>
      </c>
      <c r="J47" s="10">
        <v>18.8</v>
      </c>
      <c r="K47" s="26">
        <f>POWER(D47/$G$43,3)*100</f>
        <v>18.11961681905975</v>
      </c>
      <c r="L47" s="11">
        <f>1.30652287/(15*0.0254)*POWER(A47*0.00981,3/2)</f>
        <v>26.655420532441507</v>
      </c>
      <c r="M47" s="16">
        <v>39.4</v>
      </c>
      <c r="N47" s="16">
        <f t="shared" ref="N47:N49" si="61">B47/O47*100</f>
        <v>34.659687499999997</v>
      </c>
      <c r="O47" s="2">
        <f t="shared" ref="O47:O48" si="62">C47/Q47</f>
        <v>6.4240697496190649</v>
      </c>
      <c r="P47" s="2">
        <f>$L$3*O47</f>
        <v>0.69379953295885899</v>
      </c>
      <c r="Q47" s="2">
        <f>$Q$51*M47/100</f>
        <v>4.4364399999999993</v>
      </c>
      <c r="R47" s="26">
        <f>$L$2*(Q47-(B47*$L$3))</f>
        <v>2601.5021749999996</v>
      </c>
      <c r="S47" s="10">
        <f>A47/J47</f>
        <v>21.276595744680851</v>
      </c>
      <c r="T47" s="10">
        <f>J47/(2*PI()*D47/60)</f>
        <v>6.8969180102826724E-2</v>
      </c>
      <c r="U47" s="2">
        <f>$L$3*O47*O47+($AA$67*(Q47-P47))</f>
        <v>9.3224491991343239</v>
      </c>
      <c r="V47" s="2">
        <f>(C47-U47)/C47*100</f>
        <v>67.289651932862014</v>
      </c>
      <c r="W47" s="2"/>
      <c r="Y47" s="6"/>
      <c r="Z47" s="16"/>
      <c r="AA47" s="13"/>
      <c r="AB47" s="21"/>
      <c r="AC47" s="2"/>
      <c r="AE47" s="2"/>
      <c r="AG47" s="2"/>
      <c r="AH47" s="2"/>
      <c r="AI47" s="2"/>
    </row>
    <row r="48" spans="1:36" s="35" customFormat="1">
      <c r="A48" s="10">
        <v>550</v>
      </c>
      <c r="B48" s="2">
        <f t="shared" si="60"/>
        <v>3.4296874999999996</v>
      </c>
      <c r="C48" s="10">
        <v>43.9</v>
      </c>
      <c r="D48" s="10">
        <v>3055</v>
      </c>
      <c r="E48" s="26">
        <f t="shared" ref="E48:E51" si="63">I48/C48*100</f>
        <v>70.072653288372621</v>
      </c>
      <c r="F48" s="2">
        <f>A48/C48</f>
        <v>12.528473804100228</v>
      </c>
      <c r="G48" s="2" t="s">
        <v>133</v>
      </c>
      <c r="H48" s="2">
        <v>12.8</v>
      </c>
      <c r="I48" s="26">
        <f t="shared" ref="I48:I51" si="64">C48*V48/100</f>
        <v>30.76189479359558</v>
      </c>
      <c r="J48" s="10">
        <v>30.3</v>
      </c>
      <c r="K48" s="26">
        <f t="shared" ref="K48:K51" si="65">POWER(D48/$G$43,3)*100</f>
        <v>29.29275024143174</v>
      </c>
      <c r="L48" s="11">
        <f t="shared" ref="L48:L50" si="66">1.30652287/(15*0.0254)*POWER(A48*0.00981,3/2)</f>
        <v>42.9773453140916</v>
      </c>
      <c r="M48" s="16">
        <v>47.06</v>
      </c>
      <c r="N48" s="16">
        <f t="shared" si="61"/>
        <v>41.398093750000001</v>
      </c>
      <c r="O48" s="2">
        <f t="shared" si="62"/>
        <v>8.2846507878155613</v>
      </c>
      <c r="P48" s="2">
        <f t="shared" ref="P48:P52" si="67">$L$3*O48</f>
        <v>0.8947422850840806</v>
      </c>
      <c r="Q48" s="2">
        <f t="shared" ref="Q48:Q49" si="68">$Q$51*M48/100</f>
        <v>5.2989560000000004</v>
      </c>
      <c r="R48" s="26">
        <f>$L$2*(Q48-(B48*$L$3))</f>
        <v>3055.7008450000003</v>
      </c>
      <c r="S48" s="10">
        <f t="shared" ref="S48:S51" si="69">A48/J48</f>
        <v>18.151815181518153</v>
      </c>
      <c r="T48" s="10">
        <f t="shared" ref="T48:T50" si="70">J48/(2*PI()*D48/60)</f>
        <v>9.4711517689383226E-2</v>
      </c>
      <c r="U48" s="2">
        <f>$L$3*O48*O48+($AA$67*(Q48-P48))</f>
        <v>13.13810520640442</v>
      </c>
      <c r="V48" s="2">
        <f t="shared" ref="V48:V49" si="71">(C48-U48)/C48*100</f>
        <v>70.072653288372621</v>
      </c>
      <c r="W48" s="2"/>
      <c r="Y48" s="6"/>
      <c r="Z48" s="16"/>
      <c r="AA48" s="13"/>
      <c r="AB48" s="21"/>
      <c r="AC48" s="2"/>
      <c r="AE48" s="2"/>
      <c r="AG48" s="2"/>
      <c r="AH48" s="2"/>
      <c r="AI48" s="2"/>
    </row>
    <row r="49" spans="1:36" s="35" customFormat="1">
      <c r="A49" s="10">
        <v>845</v>
      </c>
      <c r="B49" s="2">
        <f t="shared" si="60"/>
        <v>6.2734374999999991</v>
      </c>
      <c r="C49" s="10">
        <v>80.3</v>
      </c>
      <c r="D49" s="10">
        <v>3795</v>
      </c>
      <c r="E49" s="26">
        <f t="shared" si="63"/>
        <v>72.304534410314176</v>
      </c>
      <c r="F49" s="2">
        <f>A49/C49</f>
        <v>10.523038605230386</v>
      </c>
      <c r="G49" s="2" t="s">
        <v>133</v>
      </c>
      <c r="H49" s="2">
        <v>12.8</v>
      </c>
      <c r="I49" s="26">
        <f t="shared" si="64"/>
        <v>58.060541131482275</v>
      </c>
      <c r="J49" s="10">
        <v>57.6</v>
      </c>
      <c r="K49" s="26">
        <f t="shared" si="65"/>
        <v>56.151562499999997</v>
      </c>
      <c r="L49" s="11">
        <f t="shared" si="66"/>
        <v>81.842825636127557</v>
      </c>
      <c r="M49" s="16">
        <v>60.4</v>
      </c>
      <c r="N49" s="16">
        <f t="shared" si="61"/>
        <v>53.133124999999993</v>
      </c>
      <c r="O49" s="2">
        <f>C49/Q49</f>
        <v>11.807017750226436</v>
      </c>
      <c r="P49" s="2">
        <f t="shared" si="67"/>
        <v>1.2751579170244551</v>
      </c>
      <c r="Q49" s="2">
        <f t="shared" si="68"/>
        <v>6.8010399999999995</v>
      </c>
      <c r="R49" s="26">
        <f>$L$2*(Q49-(B49*$L$3))</f>
        <v>3796.5754249999995</v>
      </c>
      <c r="S49" s="10">
        <f t="shared" si="69"/>
        <v>14.670138888888889</v>
      </c>
      <c r="T49" s="10">
        <f t="shared" si="70"/>
        <v>0.14493794027024778</v>
      </c>
      <c r="U49" s="2">
        <f>$L$3*O49*O49+($AA$67*(Q49-P49))</f>
        <v>22.239458868517719</v>
      </c>
      <c r="V49" s="2">
        <f t="shared" si="71"/>
        <v>72.304534410314176</v>
      </c>
      <c r="W49" s="2"/>
      <c r="Y49" s="6"/>
      <c r="Z49" s="16"/>
      <c r="AA49" s="13"/>
      <c r="AB49" s="21"/>
      <c r="AC49" s="2"/>
      <c r="AE49" s="2"/>
      <c r="AG49" s="2"/>
      <c r="AH49" s="2"/>
      <c r="AI49" s="2"/>
    </row>
    <row r="50" spans="1:36" s="35" customFormat="1">
      <c r="A50" s="10">
        <v>997</v>
      </c>
      <c r="B50" s="2">
        <f>C50/H50</f>
        <v>8</v>
      </c>
      <c r="C50" s="10">
        <v>102.4</v>
      </c>
      <c r="D50" s="10">
        <v>4111</v>
      </c>
      <c r="E50" s="26">
        <f t="shared" si="63"/>
        <v>72.686586959549274</v>
      </c>
      <c r="F50" s="2">
        <f>A50/C50</f>
        <v>9.736328125</v>
      </c>
      <c r="G50" s="2" t="s">
        <v>133</v>
      </c>
      <c r="H50" s="2">
        <v>12.8</v>
      </c>
      <c r="I50" s="26">
        <f t="shared" si="64"/>
        <v>74.431065046578453</v>
      </c>
      <c r="J50" s="10">
        <v>73.8</v>
      </c>
      <c r="K50" s="26">
        <f t="shared" si="65"/>
        <v>71.378749518163872</v>
      </c>
      <c r="L50" s="11">
        <f t="shared" si="66"/>
        <v>104.89101526946801</v>
      </c>
      <c r="M50" s="16">
        <v>66.599999999999994</v>
      </c>
      <c r="N50" s="16">
        <f>B50/O50*100</f>
        <v>58.587187499999992</v>
      </c>
      <c r="O50" s="2">
        <f>C50/Q50</f>
        <v>13.654862677953265</v>
      </c>
      <c r="P50" s="2">
        <f t="shared" si="67"/>
        <v>1.4747251692189525</v>
      </c>
      <c r="Q50" s="2">
        <f>$Q$51*M50/100</f>
        <v>7.4991599999999998</v>
      </c>
      <c r="R50" s="26">
        <f>$L$2*(Q50-(B50*$L$3))</f>
        <v>4113.7992000000004</v>
      </c>
      <c r="S50" s="10">
        <f t="shared" si="69"/>
        <v>13.509485094850948</v>
      </c>
      <c r="T50" s="10">
        <f t="shared" si="70"/>
        <v>0.17142741133809597</v>
      </c>
      <c r="U50" s="2">
        <f>$L$3*O50*O50+($AA$67*(Q50-P50))</f>
        <v>27.968934953421549</v>
      </c>
      <c r="V50" s="2">
        <f>(C50-U50)/C50*100</f>
        <v>72.686586959549274</v>
      </c>
      <c r="W50" s="2"/>
      <c r="Y50" s="6"/>
      <c r="Z50" s="16"/>
      <c r="AA50" s="13"/>
      <c r="AB50" s="21"/>
      <c r="AC50" s="2"/>
      <c r="AE50" s="2"/>
      <c r="AG50" s="2"/>
      <c r="AH50" s="2"/>
      <c r="AI50" s="2"/>
    </row>
    <row r="51" spans="1:36" s="35" customFormat="1">
      <c r="A51" s="10">
        <v>1877</v>
      </c>
      <c r="B51" s="2">
        <f>C51/H51</f>
        <v>20.15625</v>
      </c>
      <c r="C51" s="10">
        <v>258</v>
      </c>
      <c r="D51" s="10">
        <v>5632</v>
      </c>
      <c r="E51" s="26">
        <f t="shared" si="63"/>
        <v>73.620496124031007</v>
      </c>
      <c r="F51" s="2">
        <f>A51/C51</f>
        <v>7.275193798449612</v>
      </c>
      <c r="G51" s="2" t="s">
        <v>133</v>
      </c>
      <c r="H51" s="2">
        <v>12.8</v>
      </c>
      <c r="I51" s="26">
        <f t="shared" si="64"/>
        <v>189.94087999999999</v>
      </c>
      <c r="J51" s="10">
        <v>190.8</v>
      </c>
      <c r="K51" s="26">
        <f t="shared" si="65"/>
        <v>183.53311823785648</v>
      </c>
      <c r="L51" s="11">
        <f>1.30652287/(15*0.0254)*POWER(A51*0.00981,3/2)</f>
        <v>270.95175013263201</v>
      </c>
      <c r="M51" s="35">
        <v>100</v>
      </c>
      <c r="N51" s="16"/>
      <c r="O51" s="1">
        <v>22.9</v>
      </c>
      <c r="P51" s="2">
        <f t="shared" si="67"/>
        <v>2.4731999999999998</v>
      </c>
      <c r="Q51" s="2">
        <v>11.26</v>
      </c>
      <c r="R51" s="26">
        <f>$L$2*(Q51-(B51*$L$3))</f>
        <v>5631.5374999999995</v>
      </c>
      <c r="S51" s="10">
        <f t="shared" si="69"/>
        <v>9.8375262054507324</v>
      </c>
      <c r="T51" s="10">
        <f>J51/(2*PI()*D51/60)</f>
        <v>0.32350955051775893</v>
      </c>
      <c r="U51" s="2">
        <f>$L$3*O51*O51+($AA$67*(Q51-P51))</f>
        <v>68.059119999999993</v>
      </c>
      <c r="V51" s="2">
        <f t="shared" ref="V51" si="72">(C51-U51)/C51*100</f>
        <v>73.620496124031007</v>
      </c>
      <c r="W51" s="2"/>
      <c r="Y51" s="6"/>
      <c r="Z51" s="16"/>
      <c r="AA51" s="13"/>
      <c r="AB51" s="21"/>
      <c r="AC51" s="2"/>
      <c r="AE51" s="2"/>
      <c r="AG51" s="2"/>
      <c r="AH51" s="2"/>
      <c r="AI51" s="2"/>
    </row>
    <row r="52" spans="1:36" s="35" customFormat="1">
      <c r="E52" s="2"/>
      <c r="F52" s="2"/>
      <c r="G52" s="2"/>
      <c r="H52" s="2"/>
      <c r="I52" s="3" t="s">
        <v>8</v>
      </c>
      <c r="J52" s="3"/>
      <c r="K52" s="2"/>
      <c r="L52" s="2"/>
      <c r="M52" s="2"/>
      <c r="N52" s="2"/>
      <c r="O52" s="2"/>
      <c r="P52" s="2">
        <f t="shared" si="67"/>
        <v>0</v>
      </c>
      <c r="Q52" s="2"/>
      <c r="R52" s="2"/>
      <c r="S52" s="2"/>
      <c r="T52" s="2"/>
      <c r="U52" s="2"/>
      <c r="V52" s="2"/>
      <c r="W52" s="2"/>
      <c r="Y52" s="6"/>
      <c r="Z52" s="16"/>
      <c r="AA52" s="13"/>
      <c r="AB52" s="21"/>
      <c r="AC52" s="2"/>
      <c r="AE52" s="2"/>
      <c r="AG52" s="2"/>
      <c r="AH52" s="2"/>
      <c r="AI52" s="2"/>
    </row>
    <row r="53" spans="1:36" s="35" customFormat="1">
      <c r="E53" s="2"/>
      <c r="F53" s="2"/>
      <c r="G53" s="2"/>
      <c r="H53" s="2"/>
      <c r="I53" s="2"/>
      <c r="J53" s="2"/>
      <c r="K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Y53" s="6"/>
      <c r="Z53" s="16"/>
      <c r="AA53" s="13"/>
      <c r="AB53" s="21"/>
      <c r="AC53" s="2"/>
      <c r="AE53" s="2"/>
      <c r="AG53" s="2"/>
      <c r="AH53" s="2"/>
      <c r="AI53" s="2"/>
    </row>
    <row r="54" spans="1:36" s="35" customFormat="1">
      <c r="E54" s="2"/>
      <c r="F54" s="2"/>
      <c r="G54" s="2"/>
      <c r="H54" s="2"/>
      <c r="I54" s="2"/>
      <c r="J54" s="2"/>
      <c r="K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Y54" s="6"/>
      <c r="Z54" s="16"/>
      <c r="AA54" s="13"/>
      <c r="AB54" s="21"/>
      <c r="AC54" s="2"/>
      <c r="AE54" s="2"/>
      <c r="AG54" s="2"/>
      <c r="AH54" s="2"/>
      <c r="AI54" s="2"/>
    </row>
    <row r="55" spans="1:36" s="35" customFormat="1">
      <c r="A55" s="39" t="s">
        <v>122</v>
      </c>
      <c r="E55" s="2"/>
      <c r="F55" s="2"/>
      <c r="G55" s="2"/>
      <c r="H55" s="2"/>
      <c r="I55" s="2"/>
      <c r="J55" s="2"/>
      <c r="K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Y55" s="6"/>
      <c r="Z55" s="16"/>
      <c r="AA55" s="13"/>
      <c r="AB55" s="21"/>
      <c r="AC55" s="2"/>
      <c r="AE55" s="2"/>
      <c r="AG55" s="2"/>
      <c r="AH55" s="2"/>
      <c r="AI55" s="2"/>
    </row>
    <row r="56" spans="1:36" s="35" customFormat="1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2"/>
      <c r="S56" s="2"/>
      <c r="T56" s="2"/>
      <c r="U56" s="2"/>
      <c r="V56" s="2"/>
      <c r="W56" s="2"/>
      <c r="Y56" s="6"/>
      <c r="Z56" s="16"/>
      <c r="AA56" s="13"/>
      <c r="AB56" s="21"/>
      <c r="AC56" s="2"/>
      <c r="AE56" s="2"/>
      <c r="AG56" s="2"/>
      <c r="AH56" s="2"/>
      <c r="AI56" s="2"/>
    </row>
    <row r="57" spans="1:36" s="35" customFormat="1">
      <c r="A57" s="39" t="s">
        <v>123</v>
      </c>
      <c r="B57" s="40" t="s">
        <v>124</v>
      </c>
      <c r="C57" s="41" t="s">
        <v>140</v>
      </c>
      <c r="D57" s="41"/>
      <c r="E57" s="41"/>
      <c r="F57" s="41"/>
      <c r="G57" s="41"/>
      <c r="H57" s="41"/>
      <c r="I57" s="41"/>
      <c r="J57" s="41"/>
      <c r="K57" s="39"/>
      <c r="L57" s="39"/>
      <c r="M57" s="39"/>
      <c r="N57" s="39"/>
      <c r="O57" s="39"/>
      <c r="P57" s="39"/>
      <c r="Q57" s="39"/>
      <c r="R57" s="2"/>
      <c r="S57" s="2"/>
      <c r="T57" s="2"/>
      <c r="U57" s="2"/>
      <c r="V57" s="2"/>
      <c r="W57" s="2"/>
      <c r="Y57" s="6"/>
      <c r="Z57" s="16"/>
      <c r="AA57" s="13"/>
      <c r="AB57" s="21"/>
      <c r="AC57" s="2"/>
      <c r="AE57" s="2"/>
      <c r="AG57" s="2"/>
      <c r="AH57" s="2"/>
      <c r="AI57" s="2"/>
    </row>
    <row r="58" spans="1:36" s="35" customFormat="1">
      <c r="A58" s="39"/>
      <c r="B58" s="39"/>
      <c r="C58" s="39" t="s">
        <v>141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2"/>
      <c r="S58" s="2"/>
      <c r="T58" s="2"/>
      <c r="U58" s="2"/>
      <c r="V58" s="2"/>
      <c r="W58" s="2"/>
      <c r="Y58" s="6"/>
      <c r="Z58" s="16"/>
      <c r="AA58" s="13"/>
      <c r="AB58" s="21"/>
      <c r="AC58" s="2"/>
      <c r="AE58" s="2"/>
      <c r="AG58" s="2"/>
      <c r="AH58" s="2"/>
      <c r="AI58" s="2"/>
    </row>
    <row r="59" spans="1:36" s="35" customFormat="1">
      <c r="E59" s="39" t="s">
        <v>142</v>
      </c>
      <c r="F59" s="39" t="s">
        <v>143</v>
      </c>
      <c r="G59" s="2" t="s">
        <v>144</v>
      </c>
      <c r="H59" s="2" t="s">
        <v>145</v>
      </c>
      <c r="I59" s="2" t="s">
        <v>146</v>
      </c>
      <c r="J59" s="2" t="s">
        <v>154</v>
      </c>
      <c r="K59" s="45" t="s">
        <v>186</v>
      </c>
      <c r="L59" s="45">
        <f>0.00000036*$I$60*$J$60^3*(F$60*0.0254)*($E60*0.0254)^4</f>
        <v>0.11191886788568144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Y59" s="6"/>
      <c r="Z59" s="16"/>
      <c r="AA59" s="13"/>
      <c r="AB59" s="21"/>
      <c r="AC59" s="2"/>
      <c r="AE59" s="2"/>
      <c r="AG59" s="2"/>
      <c r="AH59" s="2"/>
      <c r="AI59" s="2"/>
    </row>
    <row r="60" spans="1:36" s="35" customFormat="1" ht="15">
      <c r="A60" s="4" t="s">
        <v>187</v>
      </c>
      <c r="B60" s="47"/>
      <c r="C60" s="47"/>
      <c r="D60" s="5"/>
      <c r="E60" s="15">
        <v>13</v>
      </c>
      <c r="F60" s="15">
        <v>4</v>
      </c>
      <c r="G60" s="16">
        <f>G65</f>
        <v>5432.2511065303106</v>
      </c>
      <c r="H60" s="16">
        <v>2</v>
      </c>
      <c r="I60" s="16">
        <v>1.08</v>
      </c>
      <c r="J60" s="16">
        <v>620</v>
      </c>
      <c r="K60" s="44" t="s">
        <v>12</v>
      </c>
      <c r="L60" s="44">
        <f>0.5+L59*($F$63+$G$63)*$E$63-(0.25-L59*(($F$63+$G$63)^2*$I$63-($F$63+$G$63)*$E$63))^(1/2)</f>
        <v>1.2912852478493275E-2</v>
      </c>
      <c r="N60" s="16"/>
      <c r="O60" s="16"/>
      <c r="P60" s="16"/>
      <c r="Q60" s="16"/>
      <c r="R60" s="2"/>
      <c r="S60" s="2"/>
      <c r="T60" s="2"/>
      <c r="U60" s="2"/>
      <c r="V60" s="2"/>
      <c r="W60" s="2"/>
      <c r="Y60" s="6"/>
      <c r="Z60" s="16"/>
      <c r="AA60" s="13"/>
      <c r="AB60" s="21"/>
      <c r="AC60" s="2"/>
      <c r="AE60" s="2"/>
      <c r="AG60" s="2"/>
      <c r="AH60" s="2"/>
      <c r="AI60" s="2"/>
    </row>
    <row r="61" spans="1:36" s="35" customFormat="1" ht="16">
      <c r="A61" s="48" t="s">
        <v>185</v>
      </c>
      <c r="B61" s="15"/>
      <c r="C61" s="15">
        <f>0.00000018*((E60*0.0254)^4)*F60*0.0254*(G60^3)*H60*I60</f>
        <v>75.2779443466152</v>
      </c>
      <c r="D61" s="13" t="s">
        <v>151</v>
      </c>
      <c r="F61" s="15"/>
      <c r="G61" s="16"/>
      <c r="H61" s="16"/>
      <c r="I61" s="16"/>
      <c r="J61" s="16"/>
      <c r="K61" s="44" t="s">
        <v>9</v>
      </c>
      <c r="L61" s="44">
        <f>L59*(H63)^2</f>
        <v>1.3054216750185881E-3</v>
      </c>
      <c r="N61" s="16"/>
      <c r="O61" s="16"/>
      <c r="P61" s="16"/>
      <c r="Q61" s="16"/>
      <c r="R61" s="2"/>
      <c r="S61" s="2"/>
      <c r="T61" s="2"/>
      <c r="U61" s="2"/>
      <c r="V61" s="2"/>
      <c r="W61" s="2"/>
      <c r="Y61" s="6"/>
      <c r="Z61" s="16"/>
      <c r="AA61" s="13"/>
      <c r="AB61" s="21"/>
      <c r="AC61" s="2"/>
      <c r="AE61" s="2"/>
      <c r="AG61" s="2"/>
      <c r="AH61" s="2"/>
      <c r="AI61" s="2"/>
    </row>
    <row r="62" spans="1:36" ht="15">
      <c r="A62" s="6"/>
      <c r="B62" s="15"/>
      <c r="C62" s="16"/>
      <c r="D62" s="7"/>
      <c r="E62" s="16" t="s">
        <v>147</v>
      </c>
      <c r="F62" s="16" t="s">
        <v>148</v>
      </c>
      <c r="G62" s="16" t="s">
        <v>149</v>
      </c>
      <c r="H62" s="16" t="s">
        <v>183</v>
      </c>
      <c r="I62" s="16" t="s">
        <v>150</v>
      </c>
      <c r="J62" s="16" t="s">
        <v>13</v>
      </c>
      <c r="K62" s="9" t="s">
        <v>156</v>
      </c>
      <c r="L62" s="46">
        <f>L60/L61</f>
        <v>9.8917098785795847</v>
      </c>
      <c r="M62" s="9" t="s">
        <v>184</v>
      </c>
      <c r="N62" s="16"/>
      <c r="O62" s="16"/>
      <c r="P62" s="16"/>
      <c r="Q62" s="16"/>
      <c r="Y62" s="6" t="s">
        <v>27</v>
      </c>
      <c r="Z62" s="16" t="str">
        <f t="shared" si="59"/>
        <v>non</v>
      </c>
      <c r="AA62" s="13"/>
      <c r="AB62" s="21">
        <f>IF(Z62="oui",AA62,POWER((AB69-AA67)/AB69,2)*100)</f>
        <v>75.66041326623909</v>
      </c>
      <c r="AC62" s="2"/>
      <c r="AD62" s="28"/>
      <c r="AE62" s="2"/>
      <c r="AF62" s="28" t="s">
        <v>5</v>
      </c>
      <c r="AG62" s="28"/>
      <c r="AH62" s="28"/>
      <c r="AI62" s="28"/>
      <c r="AJ62" s="28" t="s">
        <v>5</v>
      </c>
    </row>
    <row r="63" spans="1:36" ht="15">
      <c r="A63" s="48"/>
      <c r="B63" s="15"/>
      <c r="C63" s="16"/>
      <c r="D63" s="7"/>
      <c r="E63">
        <v>9.83</v>
      </c>
      <c r="F63" s="16">
        <v>0.108</v>
      </c>
      <c r="G63" s="16">
        <v>0</v>
      </c>
      <c r="H63">
        <f>F63+G63</f>
        <v>0.108</v>
      </c>
      <c r="I63" s="16">
        <v>1.3</v>
      </c>
      <c r="J63" s="16">
        <v>19.5</v>
      </c>
      <c r="K63" s="42"/>
      <c r="L63" s="16"/>
      <c r="M63" s="16"/>
      <c r="N63" s="34"/>
      <c r="O63" s="16"/>
      <c r="P63" s="16"/>
      <c r="Q63" s="16"/>
      <c r="Y63" s="14" t="s">
        <v>57</v>
      </c>
      <c r="Z63" s="16" t="str">
        <f t="shared" si="59"/>
        <v>non</v>
      </c>
      <c r="AA63" s="13"/>
      <c r="AB63" s="21"/>
      <c r="AC63" s="2">
        <f>AA78*AC72</f>
        <v>96.674932017043588</v>
      </c>
      <c r="AD63" s="28">
        <f>AB78*AD72</f>
        <v>136.71899999999999</v>
      </c>
      <c r="AE63" s="2">
        <f>AA78*AE72</f>
        <v>193.34986403408718</v>
      </c>
      <c r="AF63" s="28" t="s">
        <v>85</v>
      </c>
      <c r="AG63" s="2">
        <f>AI79*AG72</f>
        <v>160.11725953188184</v>
      </c>
      <c r="AH63" s="28">
        <f>AI79*AH72</f>
        <v>226.44000000000003</v>
      </c>
      <c r="AI63" s="28">
        <f>AI79*AI72</f>
        <v>320.23451906376368</v>
      </c>
      <c r="AJ63" s="28" t="s">
        <v>85</v>
      </c>
    </row>
    <row r="64" spans="1:36" ht="15">
      <c r="A64" s="49" t="s">
        <v>75</v>
      </c>
      <c r="B64" s="41"/>
      <c r="C64" s="17">
        <f>(E63-(H63*L62))*(L62-I63)</f>
        <v>75.277944346615087</v>
      </c>
      <c r="D64" s="50" t="s">
        <v>152</v>
      </c>
      <c r="F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Y64" s="6" t="s">
        <v>24</v>
      </c>
      <c r="Z64" s="16" t="str">
        <f t="shared" si="59"/>
        <v>non</v>
      </c>
      <c r="AA64" s="13"/>
      <c r="AB64" s="21"/>
      <c r="AC64" s="2">
        <f>(AC72-AB67)*(AA78-(AC72*AB76))</f>
        <v>72.839715586340333</v>
      </c>
      <c r="AD64" s="28">
        <f>(AD72-AB67)*(AB78-(AD72*AB76))</f>
        <v>98.860799999999983</v>
      </c>
      <c r="AE64" s="2">
        <f>(AE72-AB67)*(AA78-(AE72*AB76))</f>
        <v>127.04823117268067</v>
      </c>
      <c r="AF64" s="28" t="s">
        <v>85</v>
      </c>
      <c r="AG64" s="28">
        <f>(AG72-AB67)*(AI79-(AG72*AB76))</f>
        <v>129.7553497506843</v>
      </c>
      <c r="AH64" s="28">
        <f>(AH72-AB67)*(AI79-(AD72*AB76))</f>
        <v>182.25200000000001</v>
      </c>
      <c r="AI64" s="28">
        <f>(AI72-AB67)*(AI79-(AI72*AB76))</f>
        <v>253.46897950136861</v>
      </c>
      <c r="AJ64" s="28" t="s">
        <v>85</v>
      </c>
    </row>
    <row r="65" spans="1:36" ht="15">
      <c r="C65" s="16"/>
      <c r="E65" s="16"/>
      <c r="F65" s="16" t="s">
        <v>153</v>
      </c>
      <c r="G65" s="16">
        <f>J60*(E63-H63*L62)</f>
        <v>5432.2511065303106</v>
      </c>
      <c r="H65" s="16" t="s">
        <v>155</v>
      </c>
      <c r="I65" s="16"/>
      <c r="J65" s="16"/>
      <c r="K65" s="16"/>
      <c r="M65" s="16"/>
      <c r="N65" s="16"/>
      <c r="O65" s="16"/>
      <c r="P65" s="16"/>
      <c r="Q65" s="16"/>
      <c r="Y65" s="6" t="s">
        <v>195</v>
      </c>
      <c r="Z65" s="16" t="str">
        <f t="shared" si="59"/>
        <v>non</v>
      </c>
      <c r="AA65" s="13"/>
      <c r="AB65" s="21"/>
      <c r="AC65" s="2">
        <f>(AB76*AC72*AC72)+(AB67*(AA78-(AC72*AB76)))</f>
        <v>23.835216430703241</v>
      </c>
      <c r="AD65" s="28">
        <f>AB76*AD72^2+(AB67*(AA78-(AD72*AB76)))</f>
        <v>37.858199999999997</v>
      </c>
      <c r="AE65" s="26">
        <f>(AB76*AE72*AE72)+(AB67*(AA78-(AE72*AB76)))</f>
        <v>66.301632861406489</v>
      </c>
      <c r="AF65" s="28" t="s">
        <v>109</v>
      </c>
      <c r="AG65" s="28">
        <f>(AB76*AG72*AG72)+(AB67*(AI79-(AC72*AB76)))</f>
        <v>30.242776430703248</v>
      </c>
      <c r="AH65" s="28">
        <f>AB76*AH72*AH72+(AB67*(AI79-(AH72*AB76)))</f>
        <v>42.373600000000003</v>
      </c>
      <c r="AI65" s="28">
        <f>(AB76*AI72*AI72)+(AB67*(AI79-(AE72*AB76)))</f>
        <v>66.527272861406502</v>
      </c>
      <c r="AJ65" s="28" t="s">
        <v>109</v>
      </c>
    </row>
    <row r="66" spans="1:36" ht="15">
      <c r="A66" s="43" t="s">
        <v>188</v>
      </c>
      <c r="C66">
        <f>E63*L62</f>
        <v>97.235508106437322</v>
      </c>
      <c r="D66" s="16" t="s">
        <v>151</v>
      </c>
      <c r="E66" s="16"/>
      <c r="F66" s="16" t="s">
        <v>189</v>
      </c>
      <c r="G66" s="16">
        <f>G65/60*0.0254*F$60</f>
        <v>9.1986118737246585</v>
      </c>
      <c r="H66" s="16" t="s">
        <v>190</v>
      </c>
      <c r="I66" s="16"/>
      <c r="J66" s="16"/>
      <c r="K66" s="16"/>
      <c r="L66" s="16"/>
      <c r="M66" s="16"/>
      <c r="N66" s="16"/>
      <c r="O66" s="16"/>
      <c r="P66" s="16"/>
      <c r="Q66" s="16"/>
      <c r="Y66" s="6" t="s">
        <v>94</v>
      </c>
      <c r="Z66" s="16" t="str">
        <f t="shared" si="59"/>
        <v>non</v>
      </c>
      <c r="AA66" s="13"/>
      <c r="AB66" s="25">
        <f>IF(Z66="oui",AA66,((POWER(AB70,2)*AB76)+(AB67*(AB78-(AB70*AB76))))/2)</f>
        <v>69.078900000000004</v>
      </c>
      <c r="AC66" s="2"/>
      <c r="AD66" s="28"/>
      <c r="AE66" s="2">
        <f>AB66</f>
        <v>69.078900000000004</v>
      </c>
      <c r="AF66" s="28" t="s">
        <v>36</v>
      </c>
      <c r="AG66" s="28"/>
      <c r="AH66" s="28"/>
      <c r="AI66" s="28">
        <f>AB66</f>
        <v>69.078900000000004</v>
      </c>
      <c r="AJ66" s="51" t="s">
        <v>36</v>
      </c>
    </row>
    <row r="67" spans="1:36" ht="15">
      <c r="A67" s="16"/>
      <c r="B67" s="16"/>
      <c r="C67" s="16"/>
      <c r="D67" s="16"/>
      <c r="E67" s="16"/>
      <c r="F67" s="16" t="s">
        <v>192</v>
      </c>
      <c r="G67" s="16">
        <f>0.627*((1.24/2*PI()*E60*0.0254)^2*C61^2)^(1/3)/9.81</f>
        <v>0.84902951552514683</v>
      </c>
      <c r="H67" s="16" t="s">
        <v>191</v>
      </c>
      <c r="I67" s="16"/>
      <c r="J67" s="16"/>
      <c r="K67" s="16"/>
      <c r="L67" s="16"/>
      <c r="M67" s="16"/>
      <c r="N67" s="16"/>
      <c r="O67" s="16"/>
      <c r="P67" s="16"/>
      <c r="Q67" s="16"/>
      <c r="Y67" s="6" t="s">
        <v>29</v>
      </c>
      <c r="Z67" s="16" t="str">
        <f t="shared" si="59"/>
        <v>oui</v>
      </c>
      <c r="AA67" s="13">
        <v>1.3</v>
      </c>
      <c r="AB67" s="21">
        <f>IF(Z67="oui",AA67,((POWER(AA70,2)*AA76)+(AA67*(AA78-(AA70*AA76))))/2)</f>
        <v>1.3</v>
      </c>
      <c r="AC67" s="2"/>
      <c r="AD67" s="28"/>
      <c r="AE67" s="2"/>
      <c r="AF67" s="28" t="s">
        <v>84</v>
      </c>
      <c r="AG67" s="28"/>
      <c r="AH67" s="28"/>
      <c r="AI67" s="28"/>
      <c r="AJ67" s="28" t="s">
        <v>84</v>
      </c>
    </row>
    <row r="68" spans="1:36" ht="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Y68" s="6" t="s">
        <v>31</v>
      </c>
      <c r="Z68" s="16" t="str">
        <f t="shared" si="59"/>
        <v>non</v>
      </c>
      <c r="AA68" s="13"/>
      <c r="AB68" s="21">
        <f>IF(Z68="oui",AA68,(AA78/AB76))</f>
        <v>76.722222222222214</v>
      </c>
      <c r="AC68" s="2"/>
      <c r="AD68" s="28"/>
      <c r="AE68" s="2"/>
      <c r="AF68" s="28" t="s">
        <v>84</v>
      </c>
      <c r="AG68" s="28"/>
      <c r="AH68" s="28"/>
      <c r="AI68" s="28"/>
      <c r="AJ68" s="28" t="s">
        <v>84</v>
      </c>
    </row>
    <row r="69" spans="1:36" ht="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Y69" s="6" t="s">
        <v>193</v>
      </c>
      <c r="Z69" s="16" t="str">
        <f t="shared" si="59"/>
        <v>non</v>
      </c>
      <c r="AA69" s="13"/>
      <c r="AB69" s="21">
        <f>IF(Z69="oui",AA69,SQRT(AB67*AB68))</f>
        <v>9.9869359109232736</v>
      </c>
      <c r="AC69" s="2"/>
      <c r="AD69" s="28"/>
      <c r="AE69" s="2"/>
      <c r="AF69" s="28" t="s">
        <v>84</v>
      </c>
      <c r="AG69" s="28"/>
      <c r="AH69" s="28"/>
      <c r="AI69" s="28"/>
      <c r="AJ69" s="28" t="s">
        <v>84</v>
      </c>
    </row>
    <row r="70" spans="1:36" ht="1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Y70" s="6" t="s">
        <v>1</v>
      </c>
      <c r="Z70" s="16" t="str">
        <f t="shared" si="59"/>
        <v>oui</v>
      </c>
      <c r="AA70" s="13">
        <v>35</v>
      </c>
      <c r="AB70" s="21">
        <f>IF(Z70="oui",AA70,(AB76*AB67)+SQRT((AB76*AB76*AB67*AB67)+(4*AB76*(AB66-(AB78*AB67))))/(2*AB76))</f>
        <v>35</v>
      </c>
      <c r="AC70" s="2"/>
      <c r="AD70" s="28"/>
      <c r="AE70" s="2"/>
      <c r="AF70" s="28" t="s">
        <v>74</v>
      </c>
      <c r="AG70" s="28"/>
      <c r="AH70" s="28"/>
      <c r="AI70" s="28"/>
      <c r="AJ70" s="28" t="s">
        <v>74</v>
      </c>
    </row>
    <row r="71" spans="1:36" ht="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Y71" s="6" t="s">
        <v>66</v>
      </c>
      <c r="Z71" s="16" t="str">
        <f t="shared" si="59"/>
        <v>non</v>
      </c>
      <c r="AA71" s="13"/>
      <c r="AB71" s="25">
        <f>(AB76*AB67)+SQRT((AB76^2*AB67^2)+(4*AB76*(AB66-(AB78*AB67))))/(2*AB76)</f>
        <v>23.384819879953028</v>
      </c>
      <c r="AC71" s="2"/>
      <c r="AD71" s="28"/>
      <c r="AE71" s="2"/>
      <c r="AF71" s="28"/>
      <c r="AG71" s="28"/>
      <c r="AH71" s="28"/>
      <c r="AI71" s="26">
        <f>(AB76*AB67)+SQRT((AB76*AB76*AB67*AB67)+(4*AB76*(AB66-(AI79*AB67))))/(2*AB76)</f>
        <v>21.632114596474064</v>
      </c>
      <c r="AJ71" s="28" t="s">
        <v>74</v>
      </c>
    </row>
    <row r="72" spans="1:36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34"/>
      <c r="P72" s="16"/>
      <c r="Q72" s="16"/>
      <c r="Y72" s="6" t="s">
        <v>70</v>
      </c>
      <c r="Z72" s="16"/>
      <c r="AA72" s="13"/>
      <c r="AB72" s="21"/>
      <c r="AC72" s="2">
        <f>AE72/2</f>
        <v>11.667261889578034</v>
      </c>
      <c r="AD72" s="23">
        <v>16.5</v>
      </c>
      <c r="AE72" s="2">
        <f>AD72*SQRT(2)</f>
        <v>23.334523779156068</v>
      </c>
      <c r="AF72" s="28" t="s">
        <v>74</v>
      </c>
      <c r="AG72" s="2">
        <f>AI72/2</f>
        <v>10.818733752154179</v>
      </c>
      <c r="AH72" s="23">
        <v>15.3</v>
      </c>
      <c r="AI72" s="2">
        <f>AH72*SQRT(2)</f>
        <v>21.637467504308358</v>
      </c>
      <c r="AJ72" s="28" t="s">
        <v>74</v>
      </c>
    </row>
    <row r="73" spans="1:36" ht="1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Y73" s="6" t="s">
        <v>78</v>
      </c>
      <c r="Z73" s="16" t="str">
        <f t="shared" ref="Z73:Z74" si="73">IF(AA73=0,"non","oui")</f>
        <v>non</v>
      </c>
      <c r="AA73" s="13"/>
      <c r="AB73" s="21">
        <f>IF(Z73="oui",AA73,AA37*(AB78-(AB67*AB76)))</f>
        <v>5091</v>
      </c>
      <c r="AC73" s="2">
        <f>AB37*(AB78-(AC72*AB76))</f>
        <v>4391.209822453482</v>
      </c>
      <c r="AD73" s="28">
        <f>AB37*(AB78-(AD72*AB76))</f>
        <v>4064.9999999999995</v>
      </c>
      <c r="AE73" s="2">
        <f>AB37*(AB78-(AE72*AB76))</f>
        <v>3603.669644906965</v>
      </c>
      <c r="AF73" s="28" t="s">
        <v>83</v>
      </c>
      <c r="AG73" s="28">
        <f>AB37*(AI79-(AG72*AB76))</f>
        <v>8519.735471729593</v>
      </c>
      <c r="AH73" s="28">
        <f>AB37*(AI79-(AH72*AB76))</f>
        <v>8217.25</v>
      </c>
      <c r="AI73" s="28">
        <f>AB37*(AI79-(AI72*AB76))</f>
        <v>7789.4709434591869</v>
      </c>
      <c r="AJ73" s="28" t="s">
        <v>83</v>
      </c>
    </row>
    <row r="74" spans="1:36" ht="15">
      <c r="A74" s="16"/>
      <c r="B74" s="16"/>
      <c r="C74" s="16"/>
      <c r="D74" s="16"/>
      <c r="E74" s="16"/>
      <c r="F74" s="16"/>
      <c r="G74" s="16"/>
      <c r="H74" s="16"/>
      <c r="I74" s="16"/>
      <c r="J74" s="15"/>
      <c r="K74" s="15"/>
      <c r="L74" s="15"/>
      <c r="M74" s="16"/>
      <c r="N74" s="16"/>
      <c r="O74" s="16"/>
      <c r="P74" s="16"/>
      <c r="Q74" s="16"/>
      <c r="Y74" s="6" t="s">
        <v>44</v>
      </c>
      <c r="Z74" s="16" t="str">
        <f t="shared" si="73"/>
        <v>oui</v>
      </c>
      <c r="AA74" s="13">
        <v>7650</v>
      </c>
      <c r="AB74" s="21">
        <f>IF(Z74="oui",AA74,AA74)</f>
        <v>7650</v>
      </c>
      <c r="AC74" s="28"/>
      <c r="AD74" s="28"/>
      <c r="AE74" s="28"/>
      <c r="AF74" s="28" t="s">
        <v>139</v>
      </c>
      <c r="AG74" s="28"/>
      <c r="AH74" s="28"/>
      <c r="AI74" s="28"/>
      <c r="AJ74" s="28" t="s">
        <v>139</v>
      </c>
    </row>
    <row r="75" spans="1:36">
      <c r="A75" s="16"/>
      <c r="B75" s="16"/>
      <c r="C75" s="16"/>
      <c r="D75" s="16"/>
      <c r="E75" s="16"/>
      <c r="F75" s="16"/>
      <c r="G75" s="16"/>
      <c r="H75" s="16"/>
      <c r="I75" s="16"/>
      <c r="J75" s="15"/>
      <c r="K75" s="15"/>
      <c r="L75" s="15"/>
      <c r="M75" s="16"/>
      <c r="N75" s="16"/>
      <c r="O75" s="16"/>
      <c r="P75" s="16"/>
      <c r="Q75" s="16"/>
      <c r="Y75" s="6" t="s">
        <v>81</v>
      </c>
      <c r="Z75" s="16" t="str">
        <f>IF(AA75=0,"non","oui")</f>
        <v>non</v>
      </c>
      <c r="AA75" s="7"/>
      <c r="AB75" s="21"/>
      <c r="AC75" s="28"/>
      <c r="AD75" s="28"/>
      <c r="AE75" s="28"/>
      <c r="AF75" s="28" t="s">
        <v>82</v>
      </c>
      <c r="AG75" s="28"/>
      <c r="AH75" s="28"/>
      <c r="AI75" s="28"/>
      <c r="AJ75" s="28" t="s">
        <v>82</v>
      </c>
    </row>
    <row r="76" spans="1:36" ht="15">
      <c r="A76" s="2"/>
      <c r="B76" s="2"/>
      <c r="C76" s="2"/>
      <c r="D76" s="2"/>
      <c r="E76" s="2"/>
      <c r="F76" s="2"/>
      <c r="G76" s="2"/>
      <c r="H76" s="2"/>
      <c r="Y76" s="6" t="s">
        <v>88</v>
      </c>
      <c r="Z76" s="16" t="str">
        <f>IF(AA76=0,"non","oui")</f>
        <v>oui</v>
      </c>
      <c r="AA76" s="7">
        <v>0.14199999999999999</v>
      </c>
      <c r="AB76" s="21">
        <v>0.108</v>
      </c>
      <c r="AC76" s="28"/>
      <c r="AD76" s="28"/>
      <c r="AE76" s="28"/>
      <c r="AF76" s="28" t="s">
        <v>89</v>
      </c>
      <c r="AG76" s="28"/>
      <c r="AH76" s="28"/>
      <c r="AI76" s="28"/>
      <c r="AJ76" s="28" t="s">
        <v>89</v>
      </c>
    </row>
    <row r="77" spans="1:36">
      <c r="A77" s="2"/>
      <c r="B77" s="2"/>
      <c r="C77" s="2"/>
      <c r="D77" s="2"/>
      <c r="E77" s="2"/>
      <c r="F77" s="2"/>
      <c r="G77" s="2"/>
      <c r="H77" s="2"/>
      <c r="Y77" s="6" t="s">
        <v>67</v>
      </c>
      <c r="Z77" s="15" t="s">
        <v>34</v>
      </c>
      <c r="AA77" s="13">
        <f>17.2/1000000000</f>
        <v>1.7199999999999999E-8</v>
      </c>
      <c r="AB77" s="21"/>
      <c r="AC77" s="28"/>
      <c r="AD77" s="28"/>
      <c r="AE77" s="28"/>
      <c r="AF77" s="28" t="s">
        <v>91</v>
      </c>
      <c r="AG77" s="28"/>
      <c r="AH77" s="28"/>
      <c r="AI77" s="28"/>
      <c r="AJ77" s="28" t="s">
        <v>91</v>
      </c>
    </row>
    <row r="78" spans="1:36" ht="15">
      <c r="C78" s="2"/>
      <c r="D78" s="2"/>
      <c r="Y78" s="8" t="s">
        <v>53</v>
      </c>
      <c r="Z78" s="17" t="str">
        <f>IF(AA78=0,"non","oui")</f>
        <v>oui</v>
      </c>
      <c r="AA78" s="24">
        <v>8.2859999999999996</v>
      </c>
      <c r="AB78" s="22">
        <f>AA78</f>
        <v>8.2859999999999996</v>
      </c>
      <c r="AC78" s="28"/>
      <c r="AD78" s="28"/>
      <c r="AE78" s="28"/>
      <c r="AF78" s="28" t="s">
        <v>54</v>
      </c>
      <c r="AG78" s="28"/>
      <c r="AH78" s="28"/>
      <c r="AI78" s="28"/>
      <c r="AJ78" s="28" t="s">
        <v>54</v>
      </c>
    </row>
    <row r="79" spans="1:36">
      <c r="Y79" s="28"/>
      <c r="Z79" s="28"/>
      <c r="AA79" s="28"/>
      <c r="AB79" s="28"/>
      <c r="AC79" s="28"/>
      <c r="AD79" s="28"/>
      <c r="AE79" s="28">
        <v>8.2859999999999996</v>
      </c>
      <c r="AF79" s="28" t="s">
        <v>54</v>
      </c>
      <c r="AG79" s="28"/>
      <c r="AH79" s="28"/>
      <c r="AI79" s="23">
        <v>14.8</v>
      </c>
      <c r="AJ79" s="28" t="s">
        <v>54</v>
      </c>
    </row>
    <row r="80" spans="1:36" ht="15">
      <c r="AB80" s="29" t="s">
        <v>196</v>
      </c>
      <c r="AD80" s="29" t="s">
        <v>16</v>
      </c>
      <c r="AE80">
        <f>((POWER(AB70,2)*AB76)+(AB67*(AB78-(AB70*AB76))))/2</f>
        <v>69.078900000000004</v>
      </c>
      <c r="AF80" s="29" t="s">
        <v>163</v>
      </c>
    </row>
    <row r="81" spans="20:36">
      <c r="AC81">
        <v>14.8</v>
      </c>
      <c r="AD81" s="29" t="s">
        <v>14</v>
      </c>
      <c r="AE81" s="29" t="s">
        <v>17</v>
      </c>
      <c r="AF81" s="29" t="s">
        <v>15</v>
      </c>
      <c r="AG81" s="29">
        <v>22.2</v>
      </c>
      <c r="AH81" s="29" t="s">
        <v>14</v>
      </c>
      <c r="AI81" s="29" t="s">
        <v>17</v>
      </c>
      <c r="AJ81" s="29" t="s">
        <v>15</v>
      </c>
    </row>
    <row r="82" spans="20:36">
      <c r="AB82">
        <f>$AA$37*($AC$81-(AC82*$AA$76))</f>
        <v>9072.5</v>
      </c>
      <c r="AC82">
        <v>2</v>
      </c>
      <c r="AD82" s="29" t="s">
        <v>55</v>
      </c>
      <c r="AE82" s="2">
        <f>$AB$76*AC82*AC82+($AB$67*($AC$81-(AC82*$AB$76)))</f>
        <v>19.391200000000001</v>
      </c>
      <c r="AF82">
        <f>((14.8*AC82)-AE82)*100/14.8/AC82</f>
        <v>34.48918918918919</v>
      </c>
      <c r="AG82" s="29">
        <v>2</v>
      </c>
      <c r="AH82" s="29" t="s">
        <v>55</v>
      </c>
      <c r="AI82" s="29">
        <f>$AB$76*AG82*AG82+($AB$67*($AG$81-(AG82*$AB$76)))</f>
        <v>29.011199999999999</v>
      </c>
      <c r="AJ82" s="29">
        <f t="shared" ref="AJ82:AJ103" si="74">(AG82-1.3)*($AG$81-(AG82*$AB$76))*100/($AG$81*AG82)</f>
        <v>34.659459459459455</v>
      </c>
    </row>
    <row r="83" spans="20:36">
      <c r="AB83" s="29">
        <f t="shared" ref="AB83:AB104" si="75">$AA$37*($AC$81-(AC83*$AA$76))</f>
        <v>8983.75</v>
      </c>
      <c r="AC83" s="29">
        <v>3</v>
      </c>
      <c r="AD83" s="29" t="s">
        <v>55</v>
      </c>
      <c r="AE83" s="29">
        <f t="shared" ref="AE83:AE104" si="76">$AB$76*AC83*AC83+($AB$67*($AC$81-(AC83*$AB$76)))</f>
        <v>19.790800000000004</v>
      </c>
      <c r="AF83" s="29">
        <f t="shared" ref="AF83:AF102" si="77">((14.8*AC83)-AE83)*100/14.8/AC83</f>
        <v>55.426126126126121</v>
      </c>
      <c r="AG83" s="29">
        <v>3</v>
      </c>
      <c r="AH83" s="29" t="s">
        <v>55</v>
      </c>
      <c r="AI83" s="29">
        <f t="shared" ref="AI83:AI103" si="78">$AB$76*AG83*AG83+($AB$67*($AG$81-(AG83*$AB$76)))</f>
        <v>29.410799999999998</v>
      </c>
      <c r="AJ83" s="29">
        <f t="shared" si="74"/>
        <v>55.839639639639628</v>
      </c>
    </row>
    <row r="84" spans="20:36">
      <c r="AB84" s="29">
        <f t="shared" si="75"/>
        <v>8895</v>
      </c>
      <c r="AC84" s="29">
        <v>4</v>
      </c>
      <c r="AD84" s="29" t="s">
        <v>55</v>
      </c>
      <c r="AE84" s="29">
        <f t="shared" si="76"/>
        <v>20.406400000000001</v>
      </c>
      <c r="AF84" s="29">
        <f t="shared" si="77"/>
        <v>65.529729729729723</v>
      </c>
      <c r="AG84" s="29">
        <v>4</v>
      </c>
      <c r="AH84" s="29" t="s">
        <v>55</v>
      </c>
      <c r="AI84" s="29">
        <f t="shared" si="78"/>
        <v>30.026400000000002</v>
      </c>
      <c r="AJ84" s="29">
        <f t="shared" si="74"/>
        <v>66.186486486486501</v>
      </c>
    </row>
    <row r="85" spans="20:36">
      <c r="AB85" s="29">
        <f t="shared" si="75"/>
        <v>8806.25</v>
      </c>
      <c r="AC85" s="29">
        <v>5</v>
      </c>
      <c r="AD85" s="29" t="s">
        <v>55</v>
      </c>
      <c r="AE85" s="29">
        <f t="shared" si="76"/>
        <v>21.238000000000003</v>
      </c>
      <c r="AF85" s="29">
        <f t="shared" si="77"/>
        <v>71.299999999999983</v>
      </c>
      <c r="AG85" s="29">
        <v>5</v>
      </c>
      <c r="AH85" s="29" t="s">
        <v>55</v>
      </c>
      <c r="AI85" s="29">
        <f t="shared" si="78"/>
        <v>30.858000000000001</v>
      </c>
      <c r="AJ85" s="29">
        <f t="shared" si="74"/>
        <v>72.2</v>
      </c>
    </row>
    <row r="86" spans="20:36">
      <c r="AB86" s="29">
        <f t="shared" si="75"/>
        <v>8717.5</v>
      </c>
      <c r="AC86" s="29">
        <v>6</v>
      </c>
      <c r="AD86" s="29" t="s">
        <v>55</v>
      </c>
      <c r="AE86" s="29">
        <f t="shared" si="76"/>
        <v>22.285600000000002</v>
      </c>
      <c r="AF86" s="29">
        <f t="shared" si="77"/>
        <v>74.903603603603599</v>
      </c>
      <c r="AG86" s="29">
        <v>6</v>
      </c>
      <c r="AH86" s="29" t="s">
        <v>55</v>
      </c>
      <c r="AI86" s="29">
        <f t="shared" si="78"/>
        <v>31.9056</v>
      </c>
      <c r="AJ86" s="29">
        <f t="shared" si="74"/>
        <v>76.046846846846847</v>
      </c>
    </row>
    <row r="87" spans="20:36">
      <c r="AB87" s="29">
        <f t="shared" si="75"/>
        <v>8628.75</v>
      </c>
      <c r="AC87" s="29">
        <v>7</v>
      </c>
      <c r="AD87" s="29" t="s">
        <v>55</v>
      </c>
      <c r="AE87" s="29">
        <f t="shared" si="76"/>
        <v>23.549199999999999</v>
      </c>
      <c r="AF87" s="29">
        <f t="shared" si="77"/>
        <v>77.269111969111961</v>
      </c>
      <c r="AG87" s="29">
        <v>7</v>
      </c>
      <c r="AH87" s="29" t="s">
        <v>55</v>
      </c>
      <c r="AI87" s="29">
        <f t="shared" si="78"/>
        <v>33.169199999999996</v>
      </c>
      <c r="AJ87" s="29">
        <f t="shared" si="74"/>
        <v>78.655598455598451</v>
      </c>
    </row>
    <row r="88" spans="20:36">
      <c r="T88" s="2" t="s">
        <v>49</v>
      </c>
      <c r="AB88" s="29">
        <f t="shared" si="75"/>
        <v>8540.0000000000018</v>
      </c>
      <c r="AC88" s="29">
        <v>8</v>
      </c>
      <c r="AD88" s="29" t="s">
        <v>55</v>
      </c>
      <c r="AE88" s="29">
        <f t="shared" si="76"/>
        <v>25.0288</v>
      </c>
      <c r="AF88" s="29">
        <f t="shared" si="77"/>
        <v>78.860810810810818</v>
      </c>
      <c r="AG88" s="29">
        <v>8</v>
      </c>
      <c r="AH88" s="29" t="s">
        <v>55</v>
      </c>
      <c r="AI88" s="29">
        <f t="shared" si="78"/>
        <v>34.648800000000001</v>
      </c>
      <c r="AJ88" s="29">
        <f t="shared" si="74"/>
        <v>80.49054054054055</v>
      </c>
    </row>
    <row r="89" spans="20:36">
      <c r="T89" s="2" t="s">
        <v>50</v>
      </c>
      <c r="W89" s="2" t="s">
        <v>51</v>
      </c>
      <c r="X89">
        <v>30</v>
      </c>
      <c r="AB89" s="29">
        <f t="shared" si="75"/>
        <v>8451.25</v>
      </c>
      <c r="AC89" s="29">
        <v>9</v>
      </c>
      <c r="AD89" s="29" t="s">
        <v>55</v>
      </c>
      <c r="AE89" s="29">
        <f t="shared" si="76"/>
        <v>26.724400000000003</v>
      </c>
      <c r="AF89" s="29">
        <f t="shared" si="77"/>
        <v>79.936636636636635</v>
      </c>
      <c r="AG89" s="29">
        <v>9</v>
      </c>
      <c r="AH89" s="29" t="s">
        <v>55</v>
      </c>
      <c r="AI89" s="29">
        <f t="shared" si="78"/>
        <v>36.3444</v>
      </c>
      <c r="AJ89" s="29">
        <f t="shared" si="74"/>
        <v>81.809609609609609</v>
      </c>
    </row>
    <row r="90" spans="20:36">
      <c r="W90" s="2" t="s">
        <v>52</v>
      </c>
      <c r="X90">
        <v>2</v>
      </c>
      <c r="AB90" s="29">
        <f t="shared" si="75"/>
        <v>8362.5</v>
      </c>
      <c r="AC90" s="2">
        <v>10</v>
      </c>
      <c r="AD90" s="2" t="s">
        <v>55</v>
      </c>
      <c r="AE90" s="2">
        <f t="shared" si="76"/>
        <v>28.636000000000003</v>
      </c>
      <c r="AF90" s="2">
        <f t="shared" si="77"/>
        <v>80.651351351351337</v>
      </c>
      <c r="AG90" s="2">
        <v>10</v>
      </c>
      <c r="AH90" s="2" t="s">
        <v>55</v>
      </c>
      <c r="AI90" s="2">
        <f t="shared" si="78"/>
        <v>38.256</v>
      </c>
      <c r="AJ90" s="2">
        <f t="shared" si="74"/>
        <v>82.767567567567554</v>
      </c>
    </row>
    <row r="91" spans="20:36">
      <c r="AB91" s="29">
        <f t="shared" si="75"/>
        <v>8273.75</v>
      </c>
      <c r="AC91" s="2">
        <v>11</v>
      </c>
      <c r="AD91" s="2" t="s">
        <v>55</v>
      </c>
      <c r="AE91" s="2">
        <f t="shared" si="76"/>
        <v>30.763600000000004</v>
      </c>
      <c r="AF91" s="2">
        <f t="shared" si="77"/>
        <v>81.103439803439812</v>
      </c>
      <c r="AG91" s="2">
        <v>11</v>
      </c>
      <c r="AH91" s="2" t="s">
        <v>55</v>
      </c>
      <c r="AI91" s="2">
        <f t="shared" si="78"/>
        <v>40.383600000000001</v>
      </c>
      <c r="AJ91" s="2">
        <f t="shared" si="74"/>
        <v>83.462899262899271</v>
      </c>
    </row>
    <row r="92" spans="20:36">
      <c r="U92" s="10">
        <v>3390</v>
      </c>
      <c r="V92" s="10">
        <v>400</v>
      </c>
      <c r="W92" s="2">
        <f>$X$89*POWER(U92/1000,$X$90)</f>
        <v>344.76300000000003</v>
      </c>
      <c r="AB92" s="29">
        <f t="shared" si="75"/>
        <v>8185</v>
      </c>
      <c r="AC92" s="10">
        <v>12</v>
      </c>
      <c r="AD92" s="10" t="s">
        <v>55</v>
      </c>
      <c r="AE92" s="10">
        <f t="shared" si="76"/>
        <v>33.107200000000006</v>
      </c>
      <c r="AF92" s="10">
        <f t="shared" si="77"/>
        <v>81.35855855855857</v>
      </c>
      <c r="AG92" s="2">
        <v>12</v>
      </c>
      <c r="AH92" s="2" t="s">
        <v>55</v>
      </c>
      <c r="AI92" s="2">
        <f t="shared" si="78"/>
        <v>42.727199999999996</v>
      </c>
      <c r="AJ92" s="2">
        <f t="shared" si="74"/>
        <v>83.961261261261271</v>
      </c>
    </row>
    <row r="93" spans="20:36">
      <c r="U93" s="10">
        <v>4560</v>
      </c>
      <c r="V93" s="10">
        <v>550</v>
      </c>
      <c r="W93" s="2">
        <f t="shared" ref="W93:W96" si="79">$X$89*POWER(U93/1000,$X$90)</f>
        <v>623.80799999999999</v>
      </c>
      <c r="AB93" s="29">
        <f t="shared" si="75"/>
        <v>8096.25</v>
      </c>
      <c r="AC93" s="2">
        <v>13</v>
      </c>
      <c r="AD93" s="2" t="s">
        <v>55</v>
      </c>
      <c r="AE93" s="2">
        <f t="shared" si="76"/>
        <v>35.666800000000002</v>
      </c>
      <c r="AF93" s="2">
        <f t="shared" si="77"/>
        <v>81.462162162162173</v>
      </c>
      <c r="AG93" s="2">
        <v>13</v>
      </c>
      <c r="AH93" s="2" t="s">
        <v>55</v>
      </c>
      <c r="AI93" s="2">
        <f t="shared" si="78"/>
        <v>45.286799999999999</v>
      </c>
      <c r="AJ93" s="2">
        <f t="shared" si="74"/>
        <v>84.308108108108101</v>
      </c>
    </row>
    <row r="94" spans="20:36">
      <c r="U94" s="10">
        <v>5400</v>
      </c>
      <c r="V94" s="10">
        <v>850</v>
      </c>
      <c r="W94" s="2">
        <f t="shared" si="79"/>
        <v>874.80000000000007</v>
      </c>
      <c r="AB94" s="29">
        <f t="shared" si="75"/>
        <v>8007.5000000000009</v>
      </c>
      <c r="AC94" s="2">
        <v>14</v>
      </c>
      <c r="AD94" s="2" t="s">
        <v>55</v>
      </c>
      <c r="AE94" s="2">
        <f t="shared" si="76"/>
        <v>38.442399999999999</v>
      </c>
      <c r="AF94" s="2">
        <f t="shared" si="77"/>
        <v>81.446718146718155</v>
      </c>
      <c r="AG94" s="10">
        <v>14</v>
      </c>
      <c r="AH94" s="10" t="s">
        <v>55</v>
      </c>
      <c r="AI94" s="10">
        <f t="shared" si="78"/>
        <v>48.062399999999997</v>
      </c>
      <c r="AJ94" s="10">
        <f t="shared" si="74"/>
        <v>84.535907335907325</v>
      </c>
    </row>
    <row r="95" spans="20:36">
      <c r="U95" s="10">
        <v>5670</v>
      </c>
      <c r="V95" s="10">
        <v>1000</v>
      </c>
      <c r="W95" s="2">
        <f t="shared" si="79"/>
        <v>964.46699999999987</v>
      </c>
      <c r="AB95" s="29">
        <f t="shared" si="75"/>
        <v>7918.7500000000009</v>
      </c>
      <c r="AC95" s="29">
        <v>15</v>
      </c>
      <c r="AD95" s="29" t="s">
        <v>55</v>
      </c>
      <c r="AE95" s="29">
        <f t="shared" si="76"/>
        <v>41.433999999999997</v>
      </c>
      <c r="AF95" s="29">
        <f t="shared" si="77"/>
        <v>81.33603603603602</v>
      </c>
      <c r="AG95" s="29">
        <v>15</v>
      </c>
      <c r="AH95" s="29" t="s">
        <v>55</v>
      </c>
      <c r="AI95" s="29">
        <f t="shared" si="78"/>
        <v>51.053999999999995</v>
      </c>
      <c r="AJ95" s="29">
        <f t="shared" si="74"/>
        <v>84.668468468468461</v>
      </c>
    </row>
    <row r="96" spans="20:36">
      <c r="U96" s="10">
        <v>7560</v>
      </c>
      <c r="V96" s="10">
        <v>1800</v>
      </c>
      <c r="W96" s="2">
        <f t="shared" si="79"/>
        <v>1714.6079999999999</v>
      </c>
      <c r="AB96" s="29">
        <f t="shared" si="75"/>
        <v>7830</v>
      </c>
      <c r="AC96" s="29">
        <v>16</v>
      </c>
      <c r="AD96" s="29" t="s">
        <v>55</v>
      </c>
      <c r="AE96" s="29">
        <f t="shared" si="76"/>
        <v>44.641599999999997</v>
      </c>
      <c r="AF96" s="29">
        <f t="shared" si="77"/>
        <v>81.14797297297298</v>
      </c>
      <c r="AG96" s="29">
        <v>16</v>
      </c>
      <c r="AH96" s="29" t="s">
        <v>55</v>
      </c>
      <c r="AI96" s="29">
        <f t="shared" si="78"/>
        <v>54.261600000000001</v>
      </c>
      <c r="AJ96" s="29">
        <f t="shared" si="74"/>
        <v>84.723648648648634</v>
      </c>
    </row>
    <row r="97" spans="28:36">
      <c r="AB97" s="29">
        <f t="shared" si="75"/>
        <v>7741.2500000000009</v>
      </c>
      <c r="AC97" s="29">
        <v>17</v>
      </c>
      <c r="AD97" s="29" t="s">
        <v>55</v>
      </c>
      <c r="AE97" s="29">
        <f t="shared" si="76"/>
        <v>48.065200000000004</v>
      </c>
      <c r="AF97" s="29">
        <f t="shared" si="77"/>
        <v>80.896184419713848</v>
      </c>
      <c r="AG97" s="29">
        <v>17</v>
      </c>
      <c r="AH97" s="29" t="s">
        <v>55</v>
      </c>
      <c r="AI97" s="29">
        <f t="shared" si="78"/>
        <v>57.685200000000002</v>
      </c>
      <c r="AJ97" s="29">
        <f t="shared" si="74"/>
        <v>84.715103338632758</v>
      </c>
    </row>
    <row r="98" spans="28:36">
      <c r="AB98" s="29">
        <f t="shared" si="75"/>
        <v>7652.5000000000009</v>
      </c>
      <c r="AC98" s="29">
        <v>18</v>
      </c>
      <c r="AD98" s="29" t="s">
        <v>55</v>
      </c>
      <c r="AE98" s="29">
        <f t="shared" si="76"/>
        <v>51.704799999999999</v>
      </c>
      <c r="AF98" s="29">
        <f t="shared" si="77"/>
        <v>80.591291291291299</v>
      </c>
      <c r="AG98" s="29">
        <v>18</v>
      </c>
      <c r="AH98" s="29" t="s">
        <v>55</v>
      </c>
      <c r="AI98" s="29">
        <f t="shared" si="78"/>
        <v>61.324799999999996</v>
      </c>
      <c r="AJ98" s="29">
        <f t="shared" si="74"/>
        <v>84.653453453453452</v>
      </c>
    </row>
    <row r="99" spans="28:36">
      <c r="AB99" s="29">
        <f t="shared" si="75"/>
        <v>7563.75</v>
      </c>
      <c r="AC99" s="29">
        <v>19</v>
      </c>
      <c r="AD99" s="29" t="s">
        <v>55</v>
      </c>
      <c r="AE99" s="29">
        <f t="shared" si="76"/>
        <v>55.560400000000001</v>
      </c>
      <c r="AF99" s="29">
        <f t="shared" si="77"/>
        <v>80.241678520625882</v>
      </c>
      <c r="AG99" s="29">
        <v>19</v>
      </c>
      <c r="AH99" s="29" t="s">
        <v>55</v>
      </c>
      <c r="AI99" s="29">
        <f t="shared" si="78"/>
        <v>65.180399999999992</v>
      </c>
      <c r="AJ99" s="29">
        <f t="shared" si="74"/>
        <v>84.547083926031291</v>
      </c>
    </row>
    <row r="100" spans="28:36">
      <c r="AB100" s="29">
        <f t="shared" si="75"/>
        <v>7475.0000000000009</v>
      </c>
      <c r="AC100" s="29">
        <v>20</v>
      </c>
      <c r="AD100" s="29" t="s">
        <v>55</v>
      </c>
      <c r="AE100" s="29">
        <f t="shared" si="76"/>
        <v>59.632000000000005</v>
      </c>
      <c r="AF100" s="29">
        <f t="shared" si="77"/>
        <v>79.854054054054046</v>
      </c>
      <c r="AG100" s="29">
        <v>20</v>
      </c>
      <c r="AH100" s="29" t="s">
        <v>55</v>
      </c>
      <c r="AI100" s="29">
        <f t="shared" si="78"/>
        <v>69.25200000000001</v>
      </c>
      <c r="AJ100" s="29">
        <f t="shared" si="74"/>
        <v>84.402702702702697</v>
      </c>
    </row>
    <row r="101" spans="28:36">
      <c r="AB101" s="29">
        <f t="shared" si="75"/>
        <v>7386.2500000000009</v>
      </c>
      <c r="AC101" s="29">
        <v>21</v>
      </c>
      <c r="AD101" s="29" t="s">
        <v>55</v>
      </c>
      <c r="AE101" s="29">
        <f t="shared" si="76"/>
        <v>63.919599999999988</v>
      </c>
      <c r="AF101" s="29">
        <f t="shared" si="77"/>
        <v>79.43384813384813</v>
      </c>
      <c r="AG101" s="29">
        <v>21</v>
      </c>
      <c r="AH101" s="29" t="s">
        <v>55</v>
      </c>
      <c r="AI101" s="29">
        <f t="shared" si="78"/>
        <v>73.539599999999993</v>
      </c>
      <c r="AJ101" s="29">
        <f t="shared" si="74"/>
        <v>84.225740025740023</v>
      </c>
    </row>
    <row r="102" spans="28:36">
      <c r="AB102" s="29">
        <f t="shared" si="75"/>
        <v>7297.5000000000009</v>
      </c>
      <c r="AC102" s="29">
        <v>22</v>
      </c>
      <c r="AD102" s="29" t="s">
        <v>55</v>
      </c>
      <c r="AE102" s="29">
        <f t="shared" si="76"/>
        <v>68.423200000000008</v>
      </c>
      <c r="AF102" s="29">
        <f t="shared" si="77"/>
        <v>78.985503685503673</v>
      </c>
      <c r="AG102" s="29">
        <v>22</v>
      </c>
      <c r="AH102" s="29" t="s">
        <v>55</v>
      </c>
      <c r="AI102" s="29">
        <f t="shared" si="78"/>
        <v>78.043199999999999</v>
      </c>
      <c r="AJ102" s="29">
        <f t="shared" si="74"/>
        <v>84.020638820638808</v>
      </c>
    </row>
    <row r="103" spans="28:36">
      <c r="AB103" s="29">
        <f t="shared" si="75"/>
        <v>7208.75</v>
      </c>
      <c r="AC103" s="11">
        <v>23</v>
      </c>
      <c r="AD103" s="11" t="s">
        <v>55</v>
      </c>
      <c r="AE103" s="11">
        <f t="shared" si="76"/>
        <v>73.142799999999994</v>
      </c>
      <c r="AF103" s="11">
        <f t="shared" ref="AF103:AF104" si="80">((14.8*AC103)-AE103)*100/14.8/AC103</f>
        <v>78.512690951821384</v>
      </c>
      <c r="AG103" s="11">
        <v>23</v>
      </c>
      <c r="AH103" s="11" t="s">
        <v>55</v>
      </c>
      <c r="AI103" s="11">
        <f t="shared" si="78"/>
        <v>82.762799999999999</v>
      </c>
      <c r="AJ103" s="11">
        <f t="shared" si="74"/>
        <v>83.791069330199775</v>
      </c>
    </row>
    <row r="104" spans="28:36">
      <c r="AB104" s="29">
        <f t="shared" si="75"/>
        <v>7120.0000000000009</v>
      </c>
      <c r="AC104" s="11">
        <v>24</v>
      </c>
      <c r="AD104" s="11" t="s">
        <v>55</v>
      </c>
      <c r="AE104" s="11">
        <f t="shared" si="76"/>
        <v>78.078400000000002</v>
      </c>
      <c r="AF104" s="11">
        <f t="shared" si="80"/>
        <v>78.018468468468484</v>
      </c>
      <c r="AG104" s="29"/>
      <c r="AH104" s="29"/>
      <c r="AI104" s="29"/>
      <c r="AJ104" s="29"/>
    </row>
    <row r="105" spans="28:36">
      <c r="AB105" s="29"/>
      <c r="AC105" s="29"/>
      <c r="AD105" s="29"/>
      <c r="AE105" s="29"/>
      <c r="AF105" s="29"/>
      <c r="AG105" s="29"/>
      <c r="AH105" s="29"/>
      <c r="AI105" s="29"/>
      <c r="AJ105" s="29"/>
    </row>
    <row r="106" spans="28:36">
      <c r="AC106" s="29"/>
    </row>
    <row r="108" spans="28:36">
      <c r="AC108" s="29"/>
    </row>
    <row r="109" spans="28:36">
      <c r="AC109" s="29"/>
    </row>
    <row r="110" spans="28:36">
      <c r="AC110" s="29"/>
    </row>
    <row r="111" spans="28:36">
      <c r="AC111" s="29"/>
    </row>
    <row r="112" spans="28:36">
      <c r="AC112" s="29"/>
    </row>
    <row r="140" spans="1:4">
      <c r="A140" s="29"/>
    </row>
    <row r="141" spans="1:4">
      <c r="A141" s="29"/>
    </row>
    <row r="142" spans="1:4">
      <c r="A142" s="29"/>
    </row>
    <row r="143" spans="1:4">
      <c r="A143" s="29"/>
      <c r="B143" s="29"/>
      <c r="C143" s="29"/>
      <c r="D143" s="29"/>
    </row>
    <row r="144" spans="1:4">
      <c r="A144" s="29"/>
      <c r="B144" s="29"/>
      <c r="C144" s="29"/>
    </row>
    <row r="145" spans="1:3">
      <c r="A145" s="29"/>
      <c r="B145" s="29"/>
      <c r="C145" s="29"/>
    </row>
    <row r="146" spans="1:3">
      <c r="A146" s="29"/>
      <c r="B146" s="29"/>
      <c r="C146" s="29"/>
    </row>
    <row r="147" spans="1:3">
      <c r="A147" s="29"/>
      <c r="B147" s="29"/>
      <c r="C147" s="29"/>
    </row>
    <row r="148" spans="1:3">
      <c r="A148" s="29"/>
      <c r="B148" s="29"/>
      <c r="C148" s="29"/>
    </row>
    <row r="149" spans="1:3">
      <c r="A149" s="29"/>
      <c r="B149" s="29"/>
      <c r="C149" s="29"/>
    </row>
    <row r="150" spans="1:3">
      <c r="A150" s="29"/>
      <c r="B150" s="29"/>
      <c r="C150" s="29"/>
    </row>
    <row r="151" spans="1:3">
      <c r="A151" s="29"/>
      <c r="B151" s="29"/>
      <c r="C151" s="29"/>
    </row>
    <row r="152" spans="1:3">
      <c r="A152" s="29"/>
      <c r="B152" s="29"/>
      <c r="C152" s="29"/>
    </row>
    <row r="153" spans="1:3">
      <c r="A153" s="29"/>
      <c r="B153" s="2"/>
      <c r="C153" s="2"/>
    </row>
    <row r="154" spans="1:3">
      <c r="A154" s="2"/>
      <c r="B154" s="2"/>
      <c r="C154" s="2"/>
    </row>
    <row r="155" spans="1:3">
      <c r="A155" s="29"/>
      <c r="B155" s="2"/>
      <c r="C155" s="2"/>
    </row>
    <row r="156" spans="1:3">
      <c r="A156" s="29"/>
      <c r="B156" s="2"/>
      <c r="C156" s="2"/>
    </row>
    <row r="157" spans="1:3">
      <c r="A157" s="29"/>
      <c r="B157" s="2"/>
      <c r="C157" s="2"/>
    </row>
    <row r="158" spans="1:3">
      <c r="A158" s="29"/>
      <c r="B158" s="2"/>
      <c r="C158" s="2"/>
    </row>
    <row r="159" spans="1:3">
      <c r="A159" s="29"/>
      <c r="B159" s="2"/>
      <c r="C159" s="2"/>
    </row>
    <row r="160" spans="1:3">
      <c r="A160" s="29"/>
      <c r="B160" s="2"/>
      <c r="C160" s="2"/>
    </row>
    <row r="161" spans="1:3">
      <c r="A161" s="29"/>
      <c r="B161" s="2"/>
      <c r="C161" s="2"/>
    </row>
    <row r="162" spans="1:3">
      <c r="A162" s="29"/>
      <c r="B162" s="2"/>
      <c r="C162" s="2"/>
    </row>
    <row r="163" spans="1:3">
      <c r="A163" s="29"/>
      <c r="B163" s="2"/>
      <c r="C163" s="2"/>
    </row>
    <row r="164" spans="1:3">
      <c r="A164" s="29"/>
      <c r="B164" s="2"/>
      <c r="C164" s="2"/>
    </row>
    <row r="165" spans="1:3">
      <c r="A165" s="29"/>
      <c r="B165" s="2"/>
      <c r="C165" s="2"/>
    </row>
    <row r="166" spans="1:3">
      <c r="A166" s="29"/>
      <c r="B166" s="2"/>
      <c r="C166" s="2"/>
    </row>
    <row r="167" spans="1:3">
      <c r="A167" s="29"/>
      <c r="B167" s="2"/>
    </row>
    <row r="168" spans="1:3">
      <c r="B168" s="2"/>
      <c r="C168" s="2"/>
    </row>
  </sheetData>
  <sheetCalcPr fullCalcOnLoad="1"/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30"/>
  <sheetViews>
    <sheetView workbookViewId="0">
      <selection activeCell="F28" sqref="F28"/>
    </sheetView>
  </sheetViews>
  <sheetFormatPr baseColWidth="10" defaultRowHeight="13"/>
  <sheetData>
    <row r="1" spans="1:15">
      <c r="A1" s="2" t="s">
        <v>56</v>
      </c>
      <c r="B1" s="2" t="s">
        <v>63</v>
      </c>
      <c r="C1" s="2" t="s">
        <v>138</v>
      </c>
      <c r="D1" s="2"/>
    </row>
    <row r="2" spans="1:15">
      <c r="A2" s="2"/>
      <c r="B2" s="2">
        <v>325</v>
      </c>
      <c r="C2" s="2">
        <v>3770</v>
      </c>
      <c r="D2" s="2"/>
      <c r="N2" s="2"/>
    </row>
    <row r="3" spans="1:15">
      <c r="A3" s="2"/>
      <c r="B3" s="2">
        <v>455</v>
      </c>
      <c r="C3" s="2">
        <v>4110</v>
      </c>
      <c r="D3" s="2"/>
      <c r="N3" s="2"/>
    </row>
    <row r="4" spans="1:15">
      <c r="A4" s="2"/>
      <c r="B4" s="2">
        <v>760</v>
      </c>
      <c r="C4" s="2">
        <v>5070</v>
      </c>
      <c r="D4" s="2"/>
      <c r="N4" s="2"/>
    </row>
    <row r="5" spans="1:15">
      <c r="A5" s="2"/>
      <c r="B5" s="2">
        <v>1820</v>
      </c>
      <c r="C5" s="2">
        <v>7410</v>
      </c>
      <c r="D5" s="2"/>
      <c r="N5" s="2"/>
    </row>
    <row r="6" spans="1:15">
      <c r="A6" s="2"/>
      <c r="B6" s="2"/>
      <c r="C6" s="2"/>
      <c r="D6" s="2"/>
      <c r="O6" s="2"/>
    </row>
    <row r="7" spans="1:15">
      <c r="A7" s="2" t="s">
        <v>40</v>
      </c>
      <c r="B7" s="2" t="s">
        <v>63</v>
      </c>
      <c r="C7" s="2" t="s">
        <v>138</v>
      </c>
    </row>
    <row r="8" spans="1:15">
      <c r="A8" s="2"/>
      <c r="B8" s="2">
        <v>405</v>
      </c>
      <c r="C8" s="2">
        <v>3240</v>
      </c>
    </row>
    <row r="9" spans="1:15">
      <c r="A9" s="2"/>
      <c r="B9" s="2">
        <v>540</v>
      </c>
      <c r="C9" s="2">
        <v>3660</v>
      </c>
    </row>
    <row r="10" spans="1:15">
      <c r="A10" s="2"/>
      <c r="B10" s="2">
        <v>795</v>
      </c>
      <c r="C10" s="2">
        <v>4350</v>
      </c>
    </row>
    <row r="11" spans="1:15">
      <c r="A11" s="2"/>
      <c r="B11" s="2">
        <v>1145</v>
      </c>
      <c r="C11" s="2">
        <v>4940</v>
      </c>
    </row>
    <row r="12" spans="1:15">
      <c r="A12" s="2"/>
      <c r="B12" s="2">
        <v>1530</v>
      </c>
      <c r="C12" s="2">
        <v>5760</v>
      </c>
    </row>
    <row r="13" spans="1:15">
      <c r="A13" s="2"/>
      <c r="B13" s="2">
        <v>1875</v>
      </c>
      <c r="C13" s="2">
        <v>6150</v>
      </c>
    </row>
    <row r="14" spans="1:15">
      <c r="A14" s="2"/>
      <c r="B14" s="2"/>
      <c r="C14" s="2"/>
    </row>
    <row r="15" spans="1:15">
      <c r="A15" s="2" t="s">
        <v>41</v>
      </c>
      <c r="B15" s="2" t="s">
        <v>63</v>
      </c>
      <c r="C15" s="2" t="s">
        <v>138</v>
      </c>
    </row>
    <row r="16" spans="1:15">
      <c r="A16" s="2"/>
      <c r="B16" s="2">
        <v>420</v>
      </c>
      <c r="C16" s="2">
        <v>3520</v>
      </c>
    </row>
    <row r="17" spans="1:6">
      <c r="A17" s="2"/>
      <c r="B17" s="2">
        <v>600</v>
      </c>
      <c r="C17" s="2">
        <v>4110</v>
      </c>
    </row>
    <row r="18" spans="1:6">
      <c r="A18" s="2"/>
      <c r="B18" s="2">
        <v>830</v>
      </c>
      <c r="C18" s="2">
        <v>4800</v>
      </c>
    </row>
    <row r="19" spans="1:6">
      <c r="A19" s="2"/>
      <c r="B19" s="2">
        <v>1300</v>
      </c>
      <c r="C19" s="2">
        <v>5880</v>
      </c>
    </row>
    <row r="20" spans="1:6">
      <c r="A20" s="2"/>
      <c r="B20" s="2">
        <v>1805</v>
      </c>
      <c r="C20" s="2">
        <v>6750</v>
      </c>
    </row>
    <row r="21" spans="1:6">
      <c r="A21" s="2"/>
      <c r="B21" s="2"/>
      <c r="C21" s="2"/>
    </row>
    <row r="22" spans="1:6">
      <c r="A22" s="2"/>
      <c r="B22" s="2"/>
      <c r="C22" s="2"/>
    </row>
    <row r="23" spans="1:6">
      <c r="A23" s="2"/>
      <c r="B23" s="2"/>
      <c r="C23" s="2"/>
    </row>
    <row r="24" spans="1:6">
      <c r="A24" s="37" t="s">
        <v>169</v>
      </c>
      <c r="B24" s="37"/>
      <c r="C24" s="37"/>
      <c r="D24" s="37"/>
      <c r="E24" s="37"/>
      <c r="F24" s="37"/>
    </row>
    <row r="25" spans="1:6">
      <c r="A25" s="37"/>
      <c r="B25" s="37"/>
      <c r="C25" s="37"/>
      <c r="D25" s="37"/>
      <c r="E25" s="37"/>
      <c r="F25" s="37"/>
    </row>
    <row r="26" spans="1:6">
      <c r="A26" s="37" t="s">
        <v>170</v>
      </c>
      <c r="B26" s="37" t="s">
        <v>175</v>
      </c>
      <c r="C26" s="37" t="s">
        <v>176</v>
      </c>
      <c r="D26" s="37" t="s">
        <v>177</v>
      </c>
      <c r="E26" s="37" t="s">
        <v>178</v>
      </c>
      <c r="F26" s="37" t="s">
        <v>179</v>
      </c>
    </row>
    <row r="27" spans="1:6">
      <c r="A27" s="37" t="s">
        <v>171</v>
      </c>
      <c r="B27" s="37">
        <v>11.38</v>
      </c>
      <c r="C27" s="37">
        <v>18</v>
      </c>
      <c r="D27" s="37">
        <v>1540</v>
      </c>
      <c r="E27" s="37">
        <v>5580</v>
      </c>
      <c r="F27" s="37">
        <f>(B27-(E27/625))/C27</f>
        <v>0.13622222222222222</v>
      </c>
    </row>
    <row r="28" spans="1:6">
      <c r="A28" s="37" t="s">
        <v>172</v>
      </c>
      <c r="B28" s="37">
        <v>13.22</v>
      </c>
      <c r="C28" s="37">
        <v>23.4</v>
      </c>
      <c r="D28" s="37">
        <v>1795</v>
      </c>
      <c r="E28" s="37">
        <v>6210</v>
      </c>
      <c r="F28" s="37">
        <f t="shared" ref="F28:F30" si="0">(B28-(E28/625))/C28</f>
        <v>0.14034188034188039</v>
      </c>
    </row>
    <row r="29" spans="1:6">
      <c r="A29" s="37" t="s">
        <v>174</v>
      </c>
      <c r="B29" s="37">
        <v>11.57</v>
      </c>
      <c r="C29" s="37">
        <v>12.9</v>
      </c>
      <c r="D29" s="37">
        <v>1210</v>
      </c>
      <c r="E29" s="37">
        <v>6060</v>
      </c>
      <c r="F29" s="37">
        <f t="shared" si="0"/>
        <v>0.1452713178294574</v>
      </c>
    </row>
    <row r="30" spans="1:6">
      <c r="A30" s="37" t="s">
        <v>173</v>
      </c>
      <c r="B30" s="37">
        <v>13.68</v>
      </c>
      <c r="C30" s="37">
        <v>17.2</v>
      </c>
      <c r="D30" s="37">
        <v>1580</v>
      </c>
      <c r="E30" s="37">
        <v>6900</v>
      </c>
      <c r="F30" s="37">
        <f t="shared" si="0"/>
        <v>0.1534883720930233</v>
      </c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5017 Turnigy 620Kv</vt:lpstr>
      <vt:lpstr>relevés hélices</vt:lpstr>
    </vt:vector>
  </TitlesOfParts>
  <Company>_x0007_Singers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Singers</dc:creator>
  <cp:lastModifiedBy>Tom Singers</cp:lastModifiedBy>
  <dcterms:created xsi:type="dcterms:W3CDTF">2013-06-16T08:05:38Z</dcterms:created>
  <dcterms:modified xsi:type="dcterms:W3CDTF">2014-05-29T11:23:39Z</dcterms:modified>
</cp:coreProperties>
</file>